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A\site\4-versão\"/>
    </mc:Choice>
  </mc:AlternateContent>
  <xr:revisionPtr revIDLastSave="0" documentId="8_{3CF6AC76-67C2-49DC-9350-A5F91FC62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DOR - DADOS" sheetId="1" r:id="rId1"/>
    <sheet name="SIMULADOR - CUSTO PROJETOS" sheetId="3" r:id="rId2"/>
    <sheet name="COEFICIENTES A ALTERAR" sheetId="2" state="hidden" r:id="rId3"/>
  </sheets>
  <definedNames>
    <definedName name="_xlnm.Print_Area" localSheetId="1">'SIMULADOR - CUSTO PROJETOS'!$A$1:$M$46</definedName>
    <definedName name="_xlnm.Print_Area" localSheetId="0">'SIMULADOR - DADOS'!$A$1:$H$26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H645" i="3" l="1"/>
  <c r="H639" i="3"/>
  <c r="H632" i="3"/>
  <c r="H633" i="3" s="1"/>
  <c r="J657" i="3" l="1"/>
  <c r="H646" i="3"/>
  <c r="H614" i="3"/>
  <c r="H596" i="3"/>
  <c r="H578" i="3"/>
  <c r="H560" i="3"/>
  <c r="H542" i="3"/>
  <c r="H524" i="3"/>
  <c r="O657" i="3" l="1"/>
  <c r="H597" i="3"/>
  <c r="H579" i="3"/>
  <c r="H543" i="3"/>
  <c r="J574" i="3"/>
  <c r="O574" i="3" s="1"/>
  <c r="J556" i="3"/>
  <c r="O556" i="3" s="1"/>
  <c r="J592" i="3"/>
  <c r="O592" i="3" s="1"/>
  <c r="H506" i="3"/>
  <c r="H488" i="3"/>
  <c r="J502" i="3" s="1"/>
  <c r="O502" i="3" s="1"/>
  <c r="H470" i="3"/>
  <c r="H452" i="3"/>
  <c r="H507" i="3" l="1"/>
  <c r="H489" i="3"/>
  <c r="H453" i="3"/>
  <c r="J484" i="3"/>
  <c r="O484" i="3" s="1"/>
  <c r="J466" i="3"/>
  <c r="O466" i="3" s="1"/>
  <c r="H434" i="3"/>
  <c r="H416" i="3"/>
  <c r="H398" i="3"/>
  <c r="H380" i="3"/>
  <c r="H362" i="3"/>
  <c r="H344" i="3"/>
  <c r="J412" i="3" l="1"/>
  <c r="O412" i="3" s="1"/>
  <c r="H417" i="3"/>
  <c r="J394" i="3"/>
  <c r="O394" i="3" s="1"/>
  <c r="H399" i="3"/>
  <c r="J376" i="3"/>
  <c r="O376" i="3" s="1"/>
  <c r="H363" i="3"/>
  <c r="H326" i="3"/>
  <c r="H308" i="3"/>
  <c r="H309" i="3" s="1"/>
  <c r="H291" i="3"/>
  <c r="J304" i="3" s="1"/>
  <c r="O304" i="3" s="1"/>
  <c r="H273" i="3"/>
  <c r="H256" i="3"/>
  <c r="J322" i="3" l="1"/>
  <c r="O322" i="3" s="1"/>
  <c r="H327" i="3"/>
  <c r="J287" i="3"/>
  <c r="O287" i="3" s="1"/>
  <c r="H274" i="3"/>
  <c r="H239" i="3"/>
  <c r="K242" i="3"/>
  <c r="H242" i="3"/>
  <c r="H85" i="3"/>
  <c r="H222" i="3"/>
  <c r="N242" i="3" l="1"/>
  <c r="J235" i="3"/>
  <c r="O235" i="3" s="1"/>
  <c r="H205" i="3"/>
  <c r="H187" i="3"/>
  <c r="H169" i="3"/>
  <c r="H170" i="3" l="1"/>
  <c r="J218" i="3"/>
  <c r="O218" i="3" s="1"/>
  <c r="H151" i="3"/>
  <c r="H152" i="3" s="1"/>
  <c r="K161" i="3"/>
  <c r="K126" i="3"/>
  <c r="H161" i="3"/>
  <c r="H126" i="3"/>
  <c r="H134" i="3"/>
  <c r="J147" i="3" s="1"/>
  <c r="O147" i="3" s="1"/>
  <c r="H116" i="3"/>
  <c r="H117" i="3" s="1"/>
  <c r="K74" i="3"/>
  <c r="H74" i="3"/>
  <c r="N161" i="3" l="1"/>
  <c r="J165" i="3"/>
  <c r="O165" i="3" s="1"/>
  <c r="J130" i="3"/>
  <c r="O130" i="3" s="1"/>
  <c r="N126" i="3"/>
  <c r="H99" i="3" l="1"/>
  <c r="K85" i="3"/>
  <c r="N74" i="3"/>
  <c r="H82" i="3"/>
  <c r="H48" i="3"/>
  <c r="H65" i="3"/>
  <c r="J78" i="3" s="1"/>
  <c r="O78" i="3" s="1"/>
  <c r="J61" i="3" l="1"/>
  <c r="O61" i="3" s="1"/>
  <c r="N85" i="3" l="1"/>
  <c r="J9" i="3"/>
  <c r="G9" i="3"/>
  <c r="D9" i="3"/>
  <c r="D7" i="3"/>
  <c r="I23" i="1" l="1"/>
  <c r="F20" i="1"/>
  <c r="I24" i="1" l="1"/>
  <c r="F10" i="1"/>
  <c r="F11" i="1"/>
  <c r="C17" i="1" l="1"/>
  <c r="F13" i="1"/>
  <c r="C15" i="3" l="1"/>
  <c r="C13" i="3"/>
  <c r="C18" i="1"/>
  <c r="C15" i="1"/>
  <c r="F15" i="1" l="1"/>
  <c r="C16" i="1" s="1"/>
  <c r="F22" i="1"/>
  <c r="D24" i="1" s="1"/>
  <c r="E660" i="3" l="1"/>
  <c r="F24" i="1"/>
  <c r="E23" i="1"/>
  <c r="F25" i="1" l="1"/>
  <c r="F26" i="1" l="1"/>
  <c r="F27" i="1" l="1"/>
  <c r="K475" i="3" s="1"/>
  <c r="H136" i="3" l="1"/>
  <c r="H368" i="3"/>
  <c r="H147" i="3"/>
  <c r="H402" i="3"/>
  <c r="K426" i="3"/>
  <c r="H386" i="3"/>
  <c r="H366" i="3"/>
  <c r="H154" i="3"/>
  <c r="K512" i="3"/>
  <c r="H482" i="3"/>
  <c r="H483" i="3" s="1"/>
  <c r="K370" i="3"/>
  <c r="H654" i="3"/>
  <c r="H655" i="3"/>
  <c r="K50" i="3"/>
  <c r="H140" i="3"/>
  <c r="K225" i="3"/>
  <c r="K509" i="3"/>
  <c r="H648" i="3"/>
  <c r="K650" i="3"/>
  <c r="H144" i="3"/>
  <c r="H302" i="3"/>
  <c r="H303" i="3" s="1"/>
  <c r="H454" i="3"/>
  <c r="H650" i="3"/>
  <c r="H651" i="3"/>
  <c r="K641" i="3"/>
  <c r="H190" i="3"/>
  <c r="H401" i="3"/>
  <c r="K318" i="3"/>
  <c r="H123" i="3"/>
  <c r="K224" i="3"/>
  <c r="H137" i="3"/>
  <c r="H157" i="3"/>
  <c r="H547" i="3"/>
  <c r="K548" i="3"/>
  <c r="H552" i="3"/>
  <c r="H209" i="3"/>
  <c r="H218" i="3"/>
  <c r="H566" i="3"/>
  <c r="K563" i="3"/>
  <c r="K549" i="3"/>
  <c r="K231" i="3"/>
  <c r="K510" i="3"/>
  <c r="K545" i="3"/>
  <c r="H512" i="3"/>
  <c r="H546" i="3"/>
  <c r="K119" i="3"/>
  <c r="K332" i="3"/>
  <c r="H372" i="3"/>
  <c r="K296" i="3"/>
  <c r="K207" i="3"/>
  <c r="K226" i="3"/>
  <c r="H481" i="3"/>
  <c r="H210" i="3"/>
  <c r="K499" i="3"/>
  <c r="H571" i="3"/>
  <c r="H569" i="3"/>
  <c r="K606" i="3"/>
  <c r="H138" i="3"/>
  <c r="K547" i="3"/>
  <c r="H347" i="3"/>
  <c r="K456" i="3"/>
  <c r="K497" i="3"/>
  <c r="H128" i="3"/>
  <c r="H129" i="3" s="1"/>
  <c r="K277" i="3"/>
  <c r="K297" i="3"/>
  <c r="H295" i="3"/>
  <c r="K300" i="3"/>
  <c r="K420" i="3"/>
  <c r="H392" i="3"/>
  <c r="H393" i="3" s="1"/>
  <c r="K276" i="3"/>
  <c r="H329" i="3"/>
  <c r="H283" i="3"/>
  <c r="K373" i="3"/>
  <c r="H400" i="3"/>
  <c r="K480" i="3"/>
  <c r="H387" i="3"/>
  <c r="H510" i="3"/>
  <c r="K347" i="3"/>
  <c r="K336" i="3"/>
  <c r="K387" i="3"/>
  <c r="H332" i="3"/>
  <c r="H175" i="3"/>
  <c r="K174" i="3"/>
  <c r="H474" i="3"/>
  <c r="K172" i="3"/>
  <c r="H177" i="3"/>
  <c r="K566" i="3"/>
  <c r="H545" i="3"/>
  <c r="K587" i="3"/>
  <c r="H124" i="3"/>
  <c r="K635" i="3"/>
  <c r="K455" i="3"/>
  <c r="K494" i="3"/>
  <c r="H455" i="3"/>
  <c r="H276" i="3"/>
  <c r="H330" i="3"/>
  <c r="K371" i="3"/>
  <c r="H232" i="3"/>
  <c r="H328" i="3"/>
  <c r="H500" i="3"/>
  <c r="H501" i="3" s="1"/>
  <c r="K258" i="3"/>
  <c r="H420" i="3"/>
  <c r="K384" i="3"/>
  <c r="H228" i="3"/>
  <c r="H464" i="3"/>
  <c r="H465" i="3" s="1"/>
  <c r="H300" i="3"/>
  <c r="K280" i="3"/>
  <c r="K279" i="3"/>
  <c r="H590" i="3"/>
  <c r="H591" i="3" s="1"/>
  <c r="K516" i="3"/>
  <c r="H320" i="3"/>
  <c r="H321" i="3" s="1"/>
  <c r="H491" i="3"/>
  <c r="K405" i="3"/>
  <c r="H406" i="3"/>
  <c r="H405" i="3"/>
  <c r="H158" i="3"/>
  <c r="H297" i="3"/>
  <c r="H617" i="3"/>
  <c r="K463" i="3"/>
  <c r="K551" i="3"/>
  <c r="H61" i="3"/>
  <c r="H376" i="3"/>
  <c r="K570" i="3"/>
  <c r="K569" i="3"/>
  <c r="H653" i="3"/>
  <c r="K295" i="3"/>
  <c r="H127" i="3"/>
  <c r="H248" i="3"/>
  <c r="K329" i="3"/>
  <c r="H224" i="3"/>
  <c r="K138" i="3"/>
  <c r="H364" i="3"/>
  <c r="H600" i="3"/>
  <c r="K208" i="3"/>
  <c r="H294" i="3"/>
  <c r="K121" i="3"/>
  <c r="H388" i="3"/>
  <c r="K55" i="3"/>
  <c r="H279" i="3"/>
  <c r="K582" i="3"/>
  <c r="K409" i="3"/>
  <c r="K649" i="3"/>
  <c r="K331" i="3"/>
  <c r="K653" i="3"/>
  <c r="H511" i="3"/>
  <c r="K461" i="3"/>
  <c r="H515" i="3"/>
  <c r="H172" i="3"/>
  <c r="K404" i="3"/>
  <c r="H421" i="3"/>
  <c r="H284" i="3"/>
  <c r="H120" i="3"/>
  <c r="H580" i="3"/>
  <c r="K419" i="3"/>
  <c r="K365" i="3"/>
  <c r="H371" i="3"/>
  <c r="K159" i="3"/>
  <c r="H412" i="3"/>
  <c r="H162" i="3"/>
  <c r="K367" i="3"/>
  <c r="H230" i="3"/>
  <c r="H313" i="3"/>
  <c r="H226" i="3"/>
  <c r="H587" i="3"/>
  <c r="H551" i="3"/>
  <c r="K52" i="3"/>
  <c r="H564" i="3"/>
  <c r="H171" i="3"/>
  <c r="H385" i="3"/>
  <c r="H155" i="3"/>
  <c r="H280" i="3"/>
  <c r="H499" i="3"/>
  <c r="H634" i="3"/>
  <c r="H258" i="3"/>
  <c r="H278" i="3"/>
  <c r="H213" i="3"/>
  <c r="H565" i="3"/>
  <c r="H635" i="3"/>
  <c r="K581" i="3"/>
  <c r="H139" i="3"/>
  <c r="K402" i="3"/>
  <c r="K386" i="3"/>
  <c r="K408" i="3"/>
  <c r="K154" i="3"/>
  <c r="H554" i="3"/>
  <c r="H555" i="3" s="1"/>
  <c r="H383" i="3"/>
  <c r="H425" i="3"/>
  <c r="H490" i="3"/>
  <c r="K139" i="3"/>
  <c r="K314" i="3"/>
  <c r="K173" i="3"/>
  <c r="K123" i="3"/>
  <c r="H588" i="3"/>
  <c r="H584" i="3"/>
  <c r="K602" i="3"/>
  <c r="H156" i="3"/>
  <c r="K599" i="3"/>
  <c r="K391" i="3"/>
  <c r="H476" i="3"/>
  <c r="H508" i="3"/>
  <c r="H304" i="3"/>
  <c r="K422" i="3"/>
  <c r="H404" i="3"/>
  <c r="K385" i="3"/>
  <c r="K214" i="3"/>
  <c r="H479" i="3"/>
  <c r="H437" i="3"/>
  <c r="H407" i="3"/>
  <c r="H426" i="3"/>
  <c r="N426" i="3" s="1"/>
  <c r="K175" i="3"/>
  <c r="K421" i="3"/>
  <c r="H78" i="3"/>
  <c r="H55" i="3"/>
  <c r="K372" i="3"/>
  <c r="H475" i="3"/>
  <c r="N475" i="3" s="1"/>
  <c r="K476" i="3"/>
  <c r="K210" i="3"/>
  <c r="K462" i="3"/>
  <c r="H369" i="3"/>
  <c r="H384" i="3"/>
  <c r="K424" i="3"/>
  <c r="H121" i="3"/>
  <c r="H315" i="3"/>
  <c r="H311" i="3"/>
  <c r="H336" i="3"/>
  <c r="H598" i="3"/>
  <c r="H647" i="3"/>
  <c r="K158" i="3"/>
  <c r="H592" i="3"/>
  <c r="K283" i="3"/>
  <c r="H296" i="3"/>
  <c r="H211" i="3"/>
  <c r="H403" i="3"/>
  <c r="H419" i="3"/>
  <c r="H484" i="3"/>
  <c r="H233" i="3"/>
  <c r="H234" i="3" s="1"/>
  <c r="H422" i="3"/>
  <c r="K315" i="3"/>
  <c r="H582" i="3"/>
  <c r="K600" i="3"/>
  <c r="K585" i="3"/>
  <c r="K54" i="3"/>
  <c r="H458" i="3"/>
  <c r="H493" i="3"/>
  <c r="H556" i="3"/>
  <c r="H247" i="3"/>
  <c r="K567" i="3"/>
  <c r="K492" i="3"/>
  <c r="H516" i="3"/>
  <c r="H544" i="3"/>
  <c r="H58" i="3"/>
  <c r="H243" i="3"/>
  <c r="H285" i="3"/>
  <c r="H286" i="3" s="1"/>
  <c r="H75" i="3"/>
  <c r="H583" i="3"/>
  <c r="H153" i="3"/>
  <c r="H312" i="3"/>
  <c r="K401" i="3"/>
  <c r="H606" i="3"/>
  <c r="H207" i="3"/>
  <c r="K368" i="3"/>
  <c r="H52" i="3"/>
  <c r="N52" i="3" s="1"/>
  <c r="H331" i="3"/>
  <c r="K227" i="3"/>
  <c r="H408" i="3"/>
  <c r="H301" i="3"/>
  <c r="H390" i="3"/>
  <c r="H118" i="3"/>
  <c r="H367" i="3"/>
  <c r="H314" i="3"/>
  <c r="H548" i="3"/>
  <c r="H649" i="3"/>
  <c r="K651" i="3"/>
  <c r="H599" i="3"/>
  <c r="H502" i="3"/>
  <c r="K589" i="3"/>
  <c r="H492" i="3"/>
  <c r="H214" i="3"/>
  <c r="K565" i="3"/>
  <c r="H553" i="3"/>
  <c r="K491" i="3"/>
  <c r="H657" i="3"/>
  <c r="K209" i="3"/>
  <c r="H235" i="3"/>
  <c r="K120" i="3"/>
  <c r="H227" i="3"/>
  <c r="K311" i="3"/>
  <c r="H410" i="3"/>
  <c r="H411" i="3" s="1"/>
  <c r="H287" i="3"/>
  <c r="H293" i="3"/>
  <c r="K248" i="3"/>
  <c r="H581" i="3"/>
  <c r="H601" i="3"/>
  <c r="K584" i="3"/>
  <c r="H216" i="3"/>
  <c r="H217" i="3" s="1"/>
  <c r="H319" i="3"/>
  <c r="H498" i="3"/>
  <c r="H589" i="3"/>
  <c r="H50" i="3"/>
  <c r="H563" i="3"/>
  <c r="H457" i="3"/>
  <c r="K553" i="3"/>
  <c r="H480" i="3"/>
  <c r="H54" i="3"/>
  <c r="J19" i="3" s="1"/>
  <c r="D19" i="3" s="1"/>
  <c r="K294" i="3"/>
  <c r="K278" i="3"/>
  <c r="K498" i="3"/>
  <c r="H409" i="3"/>
  <c r="H574" i="3"/>
  <c r="H159" i="3"/>
  <c r="H466" i="3"/>
  <c r="K403" i="3"/>
  <c r="K313" i="3"/>
  <c r="H277" i="3"/>
  <c r="K141" i="3"/>
  <c r="H208" i="3"/>
  <c r="H141" i="3"/>
  <c r="K515" i="3"/>
  <c r="H461" i="3"/>
  <c r="H373" i="3"/>
  <c r="H59" i="3"/>
  <c r="H60" i="3" s="1"/>
  <c r="H462" i="3"/>
  <c r="K366" i="3"/>
  <c r="K369" i="3"/>
  <c r="H424" i="3"/>
  <c r="K177" i="3"/>
  <c r="K247" i="3"/>
  <c r="K601" i="3"/>
  <c r="H585" i="3"/>
  <c r="K546" i="3"/>
  <c r="K157" i="3"/>
  <c r="K228" i="3"/>
  <c r="H527" i="3"/>
  <c r="K564" i="3"/>
  <c r="K605" i="3"/>
  <c r="H145" i="3"/>
  <c r="H146" i="3" s="1"/>
  <c r="K140" i="3"/>
  <c r="K243" i="3"/>
  <c r="H225" i="3"/>
  <c r="H231" i="3"/>
  <c r="K136" i="3"/>
  <c r="K230" i="3"/>
  <c r="K583" i="3"/>
  <c r="H389" i="3"/>
  <c r="H165" i="3"/>
  <c r="H394" i="3"/>
  <c r="H174" i="3"/>
  <c r="H163" i="3"/>
  <c r="H164" i="3" s="1"/>
  <c r="H244" i="3"/>
  <c r="H473" i="3"/>
  <c r="K457" i="3"/>
  <c r="H456" i="3"/>
  <c r="H215" i="3"/>
  <c r="K473" i="3"/>
  <c r="K383" i="3"/>
  <c r="K437" i="3"/>
  <c r="K406" i="3"/>
  <c r="K211" i="3"/>
  <c r="H241" i="3"/>
  <c r="K617" i="3"/>
  <c r="K481" i="3"/>
  <c r="H605" i="3"/>
  <c r="K124" i="3"/>
  <c r="H322" i="3"/>
  <c r="H463" i="3"/>
  <c r="H567" i="3"/>
  <c r="K552" i="3"/>
  <c r="H130" i="3"/>
  <c r="H119" i="3"/>
  <c r="K155" i="3"/>
  <c r="K122" i="3"/>
  <c r="H370" i="3"/>
  <c r="K388" i="3"/>
  <c r="K156" i="3"/>
  <c r="K407" i="3"/>
  <c r="K330" i="3"/>
  <c r="H640" i="3"/>
  <c r="K293" i="3"/>
  <c r="K312" i="3"/>
  <c r="H641" i="3"/>
  <c r="H391" i="3"/>
  <c r="H509" i="3"/>
  <c r="K571" i="3"/>
  <c r="K213" i="3"/>
  <c r="K648" i="3"/>
  <c r="K511" i="3"/>
  <c r="K654" i="3"/>
  <c r="H549" i="3"/>
  <c r="H173" i="3"/>
  <c r="H76" i="3"/>
  <c r="H77" i="3" s="1"/>
  <c r="H365" i="3"/>
  <c r="K137" i="3"/>
  <c r="H374" i="3"/>
  <c r="H375" i="3" s="1"/>
  <c r="K425" i="3"/>
  <c r="K190" i="3"/>
  <c r="K390" i="3"/>
  <c r="K241" i="3"/>
  <c r="K588" i="3"/>
  <c r="H602" i="3"/>
  <c r="K527" i="3"/>
  <c r="H122" i="3"/>
  <c r="H275" i="3"/>
  <c r="H310" i="3"/>
  <c r="K479" i="3"/>
  <c r="K493" i="3"/>
  <c r="K458" i="3"/>
  <c r="H570" i="3"/>
  <c r="H418" i="3"/>
  <c r="H497" i="3"/>
  <c r="K474" i="3"/>
  <c r="H494" i="3"/>
  <c r="K244" i="3"/>
  <c r="H318" i="3"/>
  <c r="K389" i="3"/>
  <c r="H572" i="3"/>
  <c r="H573" i="3" s="1"/>
  <c r="H53" i="3"/>
  <c r="H51" i="3"/>
  <c r="H89" i="3"/>
  <c r="H68" i="3"/>
  <c r="K101" i="3"/>
  <c r="K53" i="3"/>
  <c r="K86" i="3"/>
  <c r="K67" i="3"/>
  <c r="H69" i="3"/>
  <c r="H84" i="3"/>
  <c r="H86" i="3"/>
  <c r="K70" i="3"/>
  <c r="K89" i="3"/>
  <c r="K68" i="3"/>
  <c r="H101" i="3"/>
  <c r="H71" i="3"/>
  <c r="H67" i="3"/>
  <c r="K72" i="3"/>
  <c r="K69" i="3"/>
  <c r="H70" i="3"/>
  <c r="K71" i="3"/>
  <c r="K51" i="3"/>
  <c r="H87" i="3"/>
  <c r="H72" i="3"/>
  <c r="K84" i="3"/>
  <c r="K87" i="3"/>
  <c r="N158" i="3" l="1"/>
  <c r="N177" i="3"/>
  <c r="N480" i="3"/>
  <c r="N175" i="3"/>
  <c r="N570" i="3"/>
  <c r="N370" i="3"/>
  <c r="N386" i="3"/>
  <c r="N210" i="3"/>
  <c r="N600" i="3"/>
  <c r="N228" i="3"/>
  <c r="N123" i="3"/>
  <c r="N387" i="3"/>
  <c r="N295" i="3"/>
  <c r="N569" i="3"/>
  <c r="N571" i="3"/>
  <c r="N136" i="3"/>
  <c r="N230" i="3"/>
  <c r="N388" i="3"/>
  <c r="N155" i="3"/>
  <c r="N293" i="3"/>
  <c r="N584" i="3"/>
  <c r="N366" i="3"/>
  <c r="N546" i="3"/>
  <c r="N213" i="3"/>
  <c r="N330" i="3"/>
  <c r="N583" i="3"/>
  <c r="N473" i="3"/>
  <c r="N190" i="3"/>
  <c r="N368" i="3"/>
  <c r="N55" i="3"/>
  <c r="J21" i="3"/>
  <c r="D21" i="3" s="1"/>
  <c r="N390" i="3"/>
  <c r="N369" i="3"/>
  <c r="N403" i="3"/>
  <c r="N588" i="3"/>
  <c r="N565" i="3"/>
  <c r="N244" i="3"/>
  <c r="N527" i="3"/>
  <c r="N511" i="3"/>
  <c r="N401" i="3"/>
  <c r="N425" i="3"/>
  <c r="O426" i="3" s="1"/>
  <c r="J23" i="3"/>
  <c r="D23" i="3" s="1"/>
  <c r="N481" i="3"/>
  <c r="N312" i="3"/>
  <c r="J22" i="3"/>
  <c r="D22" i="3" s="1"/>
  <c r="N457" i="3"/>
  <c r="J11" i="3"/>
  <c r="C11" i="3" s="1"/>
  <c r="N566" i="3"/>
  <c r="N248" i="3"/>
  <c r="N209" i="3"/>
  <c r="N547" i="3"/>
  <c r="N654" i="3"/>
  <c r="N474" i="3"/>
  <c r="O475" i="3" s="1"/>
  <c r="N651" i="3"/>
  <c r="N407" i="3"/>
  <c r="N157" i="3"/>
  <c r="N311" i="3"/>
  <c r="J44" i="3"/>
  <c r="D44" i="3" s="1"/>
  <c r="J20" i="3"/>
  <c r="D20" i="3" s="1"/>
  <c r="N653" i="3"/>
  <c r="N512" i="3"/>
  <c r="N406" i="3"/>
  <c r="N140" i="3"/>
  <c r="N402" i="3"/>
  <c r="J17" i="3"/>
  <c r="D17" i="3" s="1"/>
  <c r="N137" i="3"/>
  <c r="N617" i="3"/>
  <c r="J16" i="3"/>
  <c r="N154" i="3"/>
  <c r="N552" i="3"/>
  <c r="N124" i="3"/>
  <c r="N383" i="3"/>
  <c r="J18" i="3"/>
  <c r="D18" i="3" s="1"/>
  <c r="N313" i="3"/>
  <c r="N479" i="3"/>
  <c r="N54" i="3"/>
  <c r="N476" i="3"/>
  <c r="O476" i="3" s="1"/>
  <c r="N247" i="3"/>
  <c r="N421" i="3"/>
  <c r="N138" i="3"/>
  <c r="N389" i="3"/>
  <c r="N458" i="3"/>
  <c r="N156" i="3"/>
  <c r="N211" i="3"/>
  <c r="N243" i="3"/>
  <c r="O243" i="3" s="1"/>
  <c r="N564" i="3"/>
  <c r="N515" i="3"/>
  <c r="N278" i="3"/>
  <c r="N553" i="3"/>
  <c r="N315" i="3"/>
  <c r="N283" i="3"/>
  <c r="N347" i="3"/>
  <c r="N493" i="3"/>
  <c r="N241" i="3"/>
  <c r="N294" i="3"/>
  <c r="N120" i="3"/>
  <c r="N491" i="3"/>
  <c r="N139" i="3"/>
  <c r="N329" i="3"/>
  <c r="N601" i="3"/>
  <c r="N589" i="3"/>
  <c r="N227" i="3"/>
  <c r="N492" i="3"/>
  <c r="N385" i="3"/>
  <c r="N367" i="3"/>
  <c r="N582" i="3"/>
  <c r="N121" i="3"/>
  <c r="N551" i="3"/>
  <c r="N279" i="3"/>
  <c r="N455" i="3"/>
  <c r="N420" i="3"/>
  <c r="N277" i="3"/>
  <c r="N372" i="3"/>
  <c r="N231" i="3"/>
  <c r="N641" i="3"/>
  <c r="N509" i="3"/>
  <c r="H656" i="3"/>
  <c r="J42" i="3"/>
  <c r="N122" i="3"/>
  <c r="N605" i="3"/>
  <c r="N141" i="3"/>
  <c r="N498" i="3"/>
  <c r="N567" i="3"/>
  <c r="N437" i="3"/>
  <c r="N602" i="3"/>
  <c r="N173" i="3"/>
  <c r="N408" i="3"/>
  <c r="N581" i="3"/>
  <c r="N365" i="3"/>
  <c r="N331" i="3"/>
  <c r="N463" i="3"/>
  <c r="N280" i="3"/>
  <c r="N384" i="3"/>
  <c r="N635" i="3"/>
  <c r="N174" i="3"/>
  <c r="N336" i="3"/>
  <c r="N300" i="3"/>
  <c r="N226" i="3"/>
  <c r="N332" i="3"/>
  <c r="N549" i="3"/>
  <c r="N318" i="3"/>
  <c r="N225" i="3"/>
  <c r="N462" i="3"/>
  <c r="N422" i="3"/>
  <c r="N391" i="3"/>
  <c r="N314" i="3"/>
  <c r="N419" i="3"/>
  <c r="N461" i="3"/>
  <c r="N649" i="3"/>
  <c r="N208" i="3"/>
  <c r="N516" i="3"/>
  <c r="N276" i="3"/>
  <c r="N497" i="3"/>
  <c r="N499" i="3"/>
  <c r="N207" i="3"/>
  <c r="N119" i="3"/>
  <c r="N545" i="3"/>
  <c r="N563" i="3"/>
  <c r="N650" i="3"/>
  <c r="N585" i="3"/>
  <c r="N424" i="3"/>
  <c r="N214" i="3"/>
  <c r="N599" i="3"/>
  <c r="N159" i="3"/>
  <c r="N404" i="3"/>
  <c r="N409" i="3"/>
  <c r="N405" i="3"/>
  <c r="N258" i="3"/>
  <c r="N371" i="3"/>
  <c r="N494" i="3"/>
  <c r="N587" i="3"/>
  <c r="N172" i="3"/>
  <c r="N373" i="3"/>
  <c r="N297" i="3"/>
  <c r="N456" i="3"/>
  <c r="N606" i="3"/>
  <c r="N296" i="3"/>
  <c r="N510" i="3"/>
  <c r="N548" i="3"/>
  <c r="N224" i="3"/>
  <c r="N648" i="3"/>
  <c r="J13" i="3"/>
  <c r="N51" i="3"/>
  <c r="O52" i="3" s="1"/>
  <c r="N53" i="3"/>
  <c r="O53" i="3" s="1"/>
  <c r="N69" i="3"/>
  <c r="N87" i="3"/>
  <c r="N71" i="3"/>
  <c r="N84" i="3"/>
  <c r="N89" i="3"/>
  <c r="N67" i="3"/>
  <c r="N86" i="3"/>
  <c r="O86" i="3" s="1"/>
  <c r="N70" i="3"/>
  <c r="N101" i="3"/>
  <c r="N72" i="3"/>
  <c r="N68" i="3"/>
  <c r="N50" i="3"/>
  <c r="O158" i="3" l="1"/>
  <c r="O177" i="3"/>
  <c r="O210" i="3"/>
  <c r="O481" i="3"/>
  <c r="O480" i="3"/>
  <c r="O211" i="3"/>
  <c r="O571" i="3"/>
  <c r="O570" i="3"/>
  <c r="O156" i="3"/>
  <c r="O371" i="3"/>
  <c r="O370" i="3"/>
  <c r="O386" i="3"/>
  <c r="O387" i="3"/>
  <c r="O601" i="3"/>
  <c r="O296" i="3"/>
  <c r="O367" i="3"/>
  <c r="O124" i="3"/>
  <c r="O388" i="3"/>
  <c r="O231" i="3"/>
  <c r="O230" i="3"/>
  <c r="O295" i="3"/>
  <c r="O584" i="3"/>
  <c r="O585" i="3"/>
  <c r="O583" i="3"/>
  <c r="O139" i="3"/>
  <c r="O389" i="3"/>
  <c r="O247" i="3"/>
  <c r="O547" i="3"/>
  <c r="O391" i="3"/>
  <c r="O553" i="3"/>
  <c r="O209" i="3"/>
  <c r="O55" i="3"/>
  <c r="O313" i="3"/>
  <c r="O404" i="3"/>
  <c r="O515" i="3"/>
  <c r="O403" i="3"/>
  <c r="O589" i="3"/>
  <c r="O369" i="3"/>
  <c r="O566" i="3"/>
  <c r="O565" i="3"/>
  <c r="O587" i="3"/>
  <c r="O511" i="3"/>
  <c r="O512" i="3"/>
  <c r="J43" i="3"/>
  <c r="D43" i="3" s="1"/>
  <c r="O457" i="3"/>
  <c r="O408" i="3"/>
  <c r="O567" i="3"/>
  <c r="O548" i="3"/>
  <c r="O126" i="3"/>
  <c r="O314" i="3"/>
  <c r="O157" i="3"/>
  <c r="O214" i="3"/>
  <c r="O368" i="3"/>
  <c r="O458" i="3"/>
  <c r="O421" i="3"/>
  <c r="O653" i="3"/>
  <c r="O422" i="3"/>
  <c r="O318" i="3"/>
  <c r="O122" i="3"/>
  <c r="O651" i="3"/>
  <c r="O552" i="3"/>
  <c r="O121" i="3"/>
  <c r="O461" i="3"/>
  <c r="O141" i="3"/>
  <c r="O407" i="3"/>
  <c r="O138" i="3"/>
  <c r="O494" i="3"/>
  <c r="O602" i="3"/>
  <c r="O248" i="3"/>
  <c r="O373" i="3"/>
  <c r="O493" i="3"/>
  <c r="O390" i="3"/>
  <c r="O654" i="3"/>
  <c r="H15" i="3"/>
  <c r="O409" i="3"/>
  <c r="O499" i="3"/>
  <c r="E32" i="3"/>
  <c r="H37" i="3"/>
  <c r="C32" i="3"/>
  <c r="O516" i="3"/>
  <c r="F32" i="3"/>
  <c r="H38" i="3"/>
  <c r="D16" i="3"/>
  <c r="H41" i="3"/>
  <c r="H36" i="3"/>
  <c r="O280" i="3"/>
  <c r="H35" i="3"/>
  <c r="O479" i="3"/>
  <c r="O498" i="3"/>
  <c r="O278" i="3"/>
  <c r="O244" i="3"/>
  <c r="D42" i="3"/>
  <c r="O226" i="3"/>
  <c r="O606" i="3"/>
  <c r="O424" i="3"/>
  <c r="O315" i="3"/>
  <c r="O279" i="3"/>
  <c r="O213" i="3"/>
  <c r="O140" i="3"/>
  <c r="O174" i="3"/>
  <c r="I31" i="3"/>
  <c r="J31" i="3"/>
  <c r="H31" i="3"/>
  <c r="K31" i="3"/>
  <c r="G31" i="3"/>
  <c r="F31" i="3"/>
  <c r="O161" i="3"/>
  <c r="O159" i="3"/>
  <c r="O405" i="3"/>
  <c r="O406" i="3"/>
  <c r="O497" i="3"/>
  <c r="O175" i="3"/>
  <c r="O425" i="3"/>
  <c r="O549" i="3"/>
  <c r="O123" i="3"/>
  <c r="O297" i="3"/>
  <c r="O650" i="3"/>
  <c r="O463" i="3"/>
  <c r="O462" i="3"/>
  <c r="O588" i="3"/>
  <c r="O300" i="3"/>
  <c r="O551" i="3"/>
  <c r="O385" i="3"/>
  <c r="O227" i="3"/>
  <c r="O283" i="3"/>
  <c r="O336" i="3"/>
  <c r="O332" i="3"/>
  <c r="O331" i="3"/>
  <c r="O569" i="3"/>
  <c r="O228" i="3"/>
  <c r="O605" i="3"/>
  <c r="O372" i="3"/>
  <c r="O54" i="3"/>
  <c r="O70" i="3"/>
  <c r="O69" i="3"/>
  <c r="O89" i="3"/>
  <c r="O71" i="3"/>
  <c r="O74" i="3"/>
  <c r="O72" i="3"/>
  <c r="O87" i="3"/>
  <c r="C41" i="3" l="1"/>
  <c r="K32" i="3"/>
  <c r="G32" i="3"/>
  <c r="H32" i="3"/>
  <c r="J32" i="3"/>
  <c r="I32" i="3"/>
</calcChain>
</file>

<file path=xl/sharedStrings.xml><?xml version="1.0" encoding="utf-8"?>
<sst xmlns="http://schemas.openxmlformats.org/spreadsheetml/2006/main" count="1504" uniqueCount="486">
  <si>
    <t>Nome ?:</t>
  </si>
  <si>
    <t>Qual a localização ?:</t>
  </si>
  <si>
    <t>Apartamento</t>
  </si>
  <si>
    <t>Indústria / Fábrica / Armazém</t>
  </si>
  <si>
    <t>Outro</t>
  </si>
  <si>
    <t>Portugal</t>
  </si>
  <si>
    <t>Estrangeiro</t>
  </si>
  <si>
    <t>Aveiro</t>
  </si>
  <si>
    <t>Beja</t>
  </si>
  <si>
    <t>Braga</t>
  </si>
  <si>
    <t>Bragança</t>
  </si>
  <si>
    <t>Castelo Branco</t>
  </si>
  <si>
    <t>Coimbra</t>
  </si>
  <si>
    <t>Évora</t>
  </si>
  <si>
    <t>Guarda</t>
  </si>
  <si>
    <t>Faro</t>
  </si>
  <si>
    <t>Ilha da Graciosa</t>
  </si>
  <si>
    <t>Ilha da Madeira</t>
  </si>
  <si>
    <t>Ilha das Flores</t>
  </si>
  <si>
    <t>Ilha do Porto Santo</t>
  </si>
  <si>
    <t>Ilha de Santa Maria</t>
  </si>
  <si>
    <t>Não existem custas de deslocação em Portugal Continental.</t>
  </si>
  <si>
    <t>Ilha de São Jorge</t>
  </si>
  <si>
    <t>Ilha de São Miguel</t>
  </si>
  <si>
    <t>Ilha do Corvo</t>
  </si>
  <si>
    <t>Ilha do Faial</t>
  </si>
  <si>
    <t>Ilha do Pico</t>
  </si>
  <si>
    <t>Ilha da Terceira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</si>
  <si>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</si>
  <si>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</si>
  <si>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</si>
  <si>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</si>
  <si>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</si>
  <si>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</si>
  <si>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</si>
  <si>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</si>
  <si>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</si>
  <si>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Distrito</t>
  </si>
  <si>
    <t>Concelhos</t>
  </si>
  <si>
    <t>Coef.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</si>
  <si>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</si>
  <si>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</si>
  <si>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</si>
  <si>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</si>
  <si>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</si>
  <si>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</si>
  <si>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</si>
  <si>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</si>
  <si>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</si>
  <si>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</si>
  <si>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</si>
  <si>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</si>
  <si>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</si>
  <si>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</si>
  <si>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</si>
  <si>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</si>
  <si>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</si>
  <si>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</si>
  <si>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</si>
  <si>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</si>
  <si>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</si>
  <si>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</si>
  <si>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</si>
  <si>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</si>
  <si>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</si>
  <si>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</si>
  <si>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</si>
  <si>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</si>
  <si>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</si>
  <si>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</si>
  <si>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</si>
  <si>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</si>
  <si>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</si>
  <si>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</si>
  <si>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</si>
  <si>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</si>
  <si>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</si>
  <si>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</si>
  <si>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</si>
  <si>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</si>
  <si>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</si>
  <si>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</si>
  <si>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</si>
  <si>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</si>
  <si>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</si>
  <si>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</si>
  <si>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</si>
  <si>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</t>
  </si>
  <si>
    <t>Miranda do Douro</t>
  </si>
  <si>
    <t xml:space="preserve">Mirandela 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</si>
  <si>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</si>
  <si>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</si>
  <si>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</si>
  <si>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</si>
  <si>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</si>
  <si>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</si>
  <si>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</si>
  <si>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</si>
  <si>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</si>
  <si>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</si>
  <si>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</si>
  <si>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</si>
  <si>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</si>
  <si>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</si>
  <si>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Rodão</t>
  </si>
  <si>
    <t>Arganil</t>
  </si>
  <si>
    <t>Castanhede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</si>
  <si>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</si>
  <si>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</si>
  <si>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</si>
  <si>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</si>
  <si>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</si>
  <si>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</si>
  <si>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</si>
  <si>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</si>
  <si>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</si>
  <si>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</si>
  <si>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</si>
  <si>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</si>
  <si>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</si>
  <si>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Poaires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</si>
  <si>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</si>
  <si>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</si>
  <si>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</si>
  <si>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</si>
  <si>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</si>
  <si>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</si>
  <si>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</si>
  <si>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</si>
  <si>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</si>
  <si>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</si>
  <si>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</si>
  <si>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</si>
  <si>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</si>
  <si>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Aguiar da Beira</t>
  </si>
  <si>
    <t>Almeida</t>
  </si>
  <si>
    <t>Celorico da Beira</t>
  </si>
  <si>
    <t>Figueira do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</si>
  <si>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</si>
  <si>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</si>
  <si>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</si>
  <si>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</si>
  <si>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</si>
  <si>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</si>
  <si>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</si>
  <si>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</si>
  <si>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</si>
  <si>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Albufeira</t>
  </si>
  <si>
    <t>Alcoutim</t>
  </si>
  <si>
    <t>Aljezur</t>
  </si>
  <si>
    <t>Castro Marim</t>
  </si>
  <si>
    <t>Lagoa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</si>
  <si>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</si>
  <si>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</si>
  <si>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</si>
  <si>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</si>
  <si>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</si>
  <si>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</si>
  <si>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</si>
  <si>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</si>
  <si>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</si>
  <si>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Santa Cruz da Graciosa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</si>
  <si>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</si>
  <si>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</si>
  <si>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</si>
  <si>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</si>
  <si>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</si>
  <si>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</si>
  <si>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</si>
  <si>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</si>
  <si>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</si>
  <si>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</si>
  <si>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Lajes das Flores</t>
  </si>
  <si>
    <t>Santa Cruz das Flores</t>
  </si>
  <si>
    <t>Porto Santo</t>
  </si>
  <si>
    <t>Ilha da Santa Maria</t>
  </si>
  <si>
    <t>Vila do Porto</t>
  </si>
  <si>
    <t>Velas</t>
  </si>
  <si>
    <t>Nordeste</t>
  </si>
  <si>
    <t>Ponta Delgada</t>
  </si>
  <si>
    <t>Povoação</t>
  </si>
  <si>
    <t>Ribeira Grande</t>
  </si>
  <si>
    <t>Vila Franca do Campo</t>
  </si>
  <si>
    <t>Corvo</t>
  </si>
  <si>
    <t>Horta</t>
  </si>
  <si>
    <t>Lajes do Pico</t>
  </si>
  <si>
    <t>Madalena</t>
  </si>
  <si>
    <t>São Roque do Pico</t>
  </si>
  <si>
    <t>Angara do Heroísmo</t>
  </si>
  <si>
    <t>Vila da Praia da Vitória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</si>
  <si>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</si>
  <si>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</si>
  <si>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</si>
  <si>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</si>
  <si>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</si>
  <si>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</si>
  <si>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</si>
  <si>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</si>
  <si>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</si>
  <si>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</si>
  <si>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</si>
  <si>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Pedrógrão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</si>
  <si>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</si>
  <si>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</si>
  <si>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</si>
  <si>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</si>
  <si>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</si>
  <si>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</si>
  <si>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</si>
  <si>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</si>
  <si>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</si>
  <si>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</si>
  <si>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</si>
  <si>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</si>
  <si>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</si>
  <si>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</si>
  <si>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</si>
  <si>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</si>
  <si>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</si>
  <si>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</si>
  <si>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</si>
  <si>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</si>
  <si>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</si>
  <si>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</si>
  <si>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</si>
  <si>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</si>
  <si>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</si>
  <si>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</si>
  <si>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</si>
  <si>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</si>
  <si>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</si>
  <si>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</si>
  <si>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</si>
  <si>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</si>
  <si>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</si>
  <si>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</si>
  <si>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</si>
  <si>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Godomar</t>
  </si>
  <si>
    <t>Lousada</t>
  </si>
  <si>
    <t>Maia</t>
  </si>
  <si>
    <t>Marco de Canavenses</t>
  </si>
  <si>
    <t>Matosinhos</t>
  </si>
  <si>
    <t>Paços de Ferreira</t>
  </si>
  <si>
    <t>Paredes</t>
  </si>
  <si>
    <t>Penafiel</t>
  </si>
  <si>
    <t>Póvoa de Varzim</t>
  </si>
  <si>
    <t>Santo Tirso</t>
  </si>
  <si>
    <t>Trafa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</si>
  <si>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</si>
  <si>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</si>
  <si>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</si>
  <si>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</si>
  <si>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</si>
  <si>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</si>
  <si>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</si>
  <si>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</si>
  <si>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</si>
  <si>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</si>
  <si>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</si>
  <si>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</si>
  <si>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</si>
  <si>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</si>
  <si>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Colegã</t>
  </si>
  <si>
    <t>Mação</t>
  </si>
  <si>
    <t>Ourém</t>
  </si>
  <si>
    <t>Rio Maior</t>
  </si>
  <si>
    <t>Salvaterra de Magos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</si>
  <si>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</si>
  <si>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</si>
  <si>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</si>
  <si>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</si>
  <si>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</si>
  <si>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</si>
  <si>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</si>
  <si>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</si>
  <si>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</si>
  <si>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</si>
  <si>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</si>
  <si>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</si>
  <si>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</si>
  <si>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</si>
  <si>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</si>
  <si>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</si>
  <si>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</si>
  <si>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</si>
  <si>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</si>
  <si>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</si>
  <si>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de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</si>
  <si>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</si>
  <si>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</si>
  <si>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</si>
  <si>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</si>
  <si>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</si>
  <si>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</si>
  <si>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</si>
  <si>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</si>
  <si>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</si>
  <si>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</si>
  <si>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</si>
  <si>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</si>
  <si>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</si>
  <si>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</si>
  <si>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</si>
  <si>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</si>
  <si>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</si>
  <si>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</si>
  <si>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</si>
  <si>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</si>
  <si>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</si>
  <si>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</si>
  <si>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</si>
  <si>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</si>
  <si>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</si>
  <si>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</si>
  <si>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</si>
  <si>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</si>
  <si>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</si>
  <si>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</si>
  <si>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de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</si>
  <si>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</si>
  <si>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</si>
  <si>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</si>
  <si>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</si>
  <si>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</si>
  <si>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</si>
  <si>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</si>
  <si>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</si>
  <si>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Europa Ocidental</t>
  </si>
  <si>
    <t>Europa Central</t>
  </si>
  <si>
    <t>Europa Oriental</t>
  </si>
  <si>
    <t>África Norte Ocidental</t>
  </si>
  <si>
    <t>África Norte Oriental</t>
  </si>
  <si>
    <t>África Central</t>
  </si>
  <si>
    <t>África Sul</t>
  </si>
  <si>
    <t>América Norte Ocidental</t>
  </si>
  <si>
    <t>América Norte Oriental</t>
  </si>
  <si>
    <t>América Central</t>
  </si>
  <si>
    <t>América Sul Ocidental</t>
  </si>
  <si>
    <t>América Sul Oriental</t>
  </si>
  <si>
    <t>Ásia Ocidental</t>
  </si>
  <si>
    <t>Ásia Central</t>
  </si>
  <si>
    <t>Ásia Oriental</t>
  </si>
  <si>
    <t>Oceânia</t>
  </si>
  <si>
    <t>Qual o concelho / zona continental ?:</t>
  </si>
  <si>
    <t>Lagoa (Algarve)</t>
  </si>
  <si>
    <t>Lagoa (Ilha de S. Miguel)</t>
  </si>
  <si>
    <t>Calheta (Açores)</t>
  </si>
  <si>
    <t>Calheta (Madeira)</t>
  </si>
  <si>
    <t>Ângra do Heroísmo</t>
  </si>
  <si>
    <t>Gondomar</t>
  </si>
  <si>
    <t>Trofa</t>
  </si>
  <si>
    <t>Golegã</t>
  </si>
  <si>
    <t>Ponte da Barca</t>
  </si>
  <si>
    <t>São João da Pesqueira</t>
  </si>
  <si>
    <t>CUSTO DOS PROJETOS</t>
  </si>
  <si>
    <t>Disponibilizamos on-line os preços para a elaboração de projetos.</t>
  </si>
  <si>
    <t>Qual o tipo de projeto pretendido ?:</t>
  </si>
  <si>
    <t>Moradia</t>
  </si>
  <si>
    <t>Edifício de Habitação / Serviços</t>
  </si>
  <si>
    <t>Lojas / Escritórios</t>
  </si>
  <si>
    <t>Edifício Comercial</t>
  </si>
  <si>
    <t>Urbanismo</t>
  </si>
  <si>
    <t>Qual a intervenção pretendida ?:</t>
  </si>
  <si>
    <t>Ampliação</t>
  </si>
  <si>
    <t>Legalização</t>
  </si>
  <si>
    <t>Remodelação</t>
  </si>
  <si>
    <t>Construção Nova</t>
  </si>
  <si>
    <t>Alteração</t>
  </si>
  <si>
    <t>Destaque</t>
  </si>
  <si>
    <t>Loteamento / Urbanização</t>
  </si>
  <si>
    <t>Paisagismo</t>
  </si>
  <si>
    <t>Qual a área bruta existente ?:</t>
  </si>
  <si>
    <t>Qual a área bruta prevista ou existente ?:</t>
  </si>
  <si>
    <t>Qual a área bruta nova a ampliar ?:</t>
  </si>
  <si>
    <t>Qual a área de intervenção (terreno) ?:</t>
  </si>
  <si>
    <t>Qual o número de pisos ?:</t>
  </si>
  <si>
    <t>Preços</t>
  </si>
  <si>
    <t>ARQUITETURA:</t>
  </si>
  <si>
    <t>Levantamento topográfico</t>
  </si>
  <si>
    <t>ESPECIALIDADES:</t>
  </si>
  <si>
    <t>Estabilidade</t>
  </si>
  <si>
    <t>Águas residuais</t>
  </si>
  <si>
    <t>Abastecimento de águas</t>
  </si>
  <si>
    <t>Condicionamento acústico</t>
  </si>
  <si>
    <t>REH (térmico)</t>
  </si>
  <si>
    <t>RECS (mecânico)</t>
  </si>
  <si>
    <t>(x2) (SCE)</t>
  </si>
  <si>
    <t xml:space="preserve">    </t>
  </si>
  <si>
    <t xml:space="preserve">Segurança contra incêndio    </t>
  </si>
  <si>
    <t>Electr., Ited e Gás</t>
  </si>
  <si>
    <t>(Preço mínimo de projetos)</t>
  </si>
  <si>
    <t>PLANO DE SEGURANÇA E SAÚDE:</t>
  </si>
  <si>
    <t>RESPONSABILIDADE DE OBRA:</t>
  </si>
  <si>
    <t>TABELA PARA CÁLCULO DOS HONORÁRIOS DE PROJETOS</t>
  </si>
  <si>
    <t>€/m2</t>
  </si>
  <si>
    <t>Arquitetura</t>
  </si>
  <si>
    <t>€/fração</t>
  </si>
  <si>
    <t>€</t>
  </si>
  <si>
    <t>€/mês</t>
  </si>
  <si>
    <t>(valor p/ classe 1, outras classes 1,50n)</t>
  </si>
  <si>
    <t>ORÇAMENTO ESTIMATIVO</t>
  </si>
  <si>
    <t>Nome:</t>
  </si>
  <si>
    <t>Projeto:</t>
  </si>
  <si>
    <t>de</t>
  </si>
  <si>
    <t>em</t>
  </si>
  <si>
    <t>Rede Drenagem Águas residuais (domésticas e pluviais)</t>
  </si>
  <si>
    <t>Rede de Abastecimento de água</t>
  </si>
  <si>
    <t>Condicionamento Acústico</t>
  </si>
  <si>
    <t>Comportamento Térmico (REH) + certificação energética</t>
  </si>
  <si>
    <t>Comportamento Térmico (RECS) + certificação energética</t>
  </si>
  <si>
    <t>Segurança Contra Incêndio</t>
  </si>
  <si>
    <t>Rede de Eletricidade, ITED e Gás</t>
  </si>
  <si>
    <t>TOTAL: Depende do prazo/desconto</t>
  </si>
  <si>
    <t>Ver tabela abaixo</t>
  </si>
  <si>
    <t>Nº DE PROJETOS A DECORRER</t>
  </si>
  <si>
    <t>Apartamento - Alteração</t>
  </si>
  <si>
    <t>1 mês</t>
  </si>
  <si>
    <t>2 meses</t>
  </si>
  <si>
    <t>3 meses</t>
  </si>
  <si>
    <t>4 meses</t>
  </si>
  <si>
    <t>5 meses</t>
  </si>
  <si>
    <t>6 meses</t>
  </si>
  <si>
    <t>Proporcional até máx.:</t>
  </si>
  <si>
    <t>Projetos/Prazos</t>
  </si>
  <si>
    <t>TABELA DE DESCONTOS EM FUNÇÃO DO PRAZO DE ENTREGA:</t>
  </si>
  <si>
    <t>IVA não incluído</t>
  </si>
  <si>
    <t>Estabilidade ou Estruturas</t>
  </si>
  <si>
    <t>Condições de Pagamento do Projeto de Arquitetura:</t>
  </si>
  <si>
    <t>30% na adjudicação</t>
  </si>
  <si>
    <t>40% na aprovação da ideia pelo cliente</t>
  </si>
  <si>
    <t>30% entrega do trabalho</t>
  </si>
  <si>
    <t>Plano de Segurança e Saúde</t>
  </si>
  <si>
    <t>Plano Prev. e Gestão de Resíduos Construção e Demolição</t>
  </si>
  <si>
    <t>Acompanhamento Técnico da Obra (Direção ou Fiscalização)</t>
  </si>
  <si>
    <t>CUSTO CONSTRUÇÃO M2:</t>
  </si>
  <si>
    <t>Classe 1:</t>
  </si>
  <si>
    <t>Classe 2:</t>
  </si>
  <si>
    <t>Classe 3:</t>
  </si>
  <si>
    <t>Classe 4:</t>
  </si>
  <si>
    <t>Classe 5:</t>
  </si>
  <si>
    <t>Classe 6:</t>
  </si>
  <si>
    <t>Classe 7:</t>
  </si>
  <si>
    <t>Classe 8:</t>
  </si>
  <si>
    <t>Classe 9:</t>
  </si>
  <si>
    <t>classe</t>
  </si>
  <si>
    <t>Apartamento - Ampliação</t>
  </si>
  <si>
    <t>m2</t>
  </si>
  <si>
    <t>Apartamento - Legalização</t>
  </si>
  <si>
    <t>Apartamento - Remodelação</t>
  </si>
  <si>
    <t>Moradia - Construção Nova</t>
  </si>
  <si>
    <t>Qual a área do lote/terreno ?:</t>
  </si>
  <si>
    <t>Área de terreno para cálculo</t>
  </si>
  <si>
    <t>Moradia - Alteração</t>
  </si>
  <si>
    <t>Moradia - Ampliação</t>
  </si>
  <si>
    <t>Moradia - Legalização</t>
  </si>
  <si>
    <t>Moradia - Remodelação</t>
  </si>
  <si>
    <t>Lojas / Escritórios - Alteração</t>
  </si>
  <si>
    <t>Lojas / Escritórios - Ampliação</t>
  </si>
  <si>
    <t>Lojas / Escritórios - Legalização</t>
  </si>
  <si>
    <t>Lojas / Escritórios - Remodelação</t>
  </si>
  <si>
    <t>Indústria / Fábrica / Armazém - Construção Nova</t>
  </si>
  <si>
    <t>Indústria / Fábrica / Armazém - Alteração</t>
  </si>
  <si>
    <t>Indústria / Fábrica / Armazém - Ampliação</t>
  </si>
  <si>
    <t>Indústria / Fábrica / Armazém - Legalização</t>
  </si>
  <si>
    <t>Indústria / Fábrica / Armazém - Remodelação</t>
  </si>
  <si>
    <t>Edifício de Habitação / Serviços - Construção Nova</t>
  </si>
  <si>
    <t>Edifício de Habitação / Serviços - Alteração</t>
  </si>
  <si>
    <t>Edifício de Habitação / Serviços - Ampliação</t>
  </si>
  <si>
    <t>Edifício de Habitação / Serviços - Legalização</t>
  </si>
  <si>
    <t>Edifício Comercial - Construção Nova</t>
  </si>
  <si>
    <t>Edifício Comercial - Alteração</t>
  </si>
  <si>
    <t>Edifício Comercial - Ampliação</t>
  </si>
  <si>
    <t>Edifício Comercial - Legalização</t>
  </si>
  <si>
    <t>Edifício Comercial - Remodelação</t>
  </si>
  <si>
    <t>Outro - Construção Nova</t>
  </si>
  <si>
    <t>Outro - Alteração</t>
  </si>
  <si>
    <t>Outro - Ampliação</t>
  </si>
  <si>
    <t>Outro - Legalização</t>
  </si>
  <si>
    <t>Outro - Remodelação</t>
  </si>
  <si>
    <t>Arquitetura Paisagista</t>
  </si>
  <si>
    <t>Loteamento / urbanização</t>
  </si>
  <si>
    <t>Rede Viária ou Arruamentos</t>
  </si>
  <si>
    <t>Avaliação de Ruído Ambiental</t>
  </si>
  <si>
    <t>CORRIGIR CAMPOS</t>
  </si>
  <si>
    <t>&gt; 19.000.000,00</t>
  </si>
  <si>
    <t>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</si>
</sst>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#.00\ &quot;m2&quot;"/>
    <numFmt numFmtId="166" formatCode="#"/>
    <numFmt numFmtId="167" formatCode="0.000"/>
    <numFmt numFmtId="168" formatCode="#,##0.000\ &quot;€&quot;;[Red]\-#,##0.000\ &quot;€&quot;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sz val="9"/>
      <color theme="0" tint="-0.249977111117893"/>
      <name val="Arial"/>
      <family val="2"/>
    </font>
    <font>
      <b/>
      <sz val="13"/>
      <name val="Arial Narrow"/>
      <family val="2"/>
    </font>
    <font>
      <u/>
      <sz val="10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8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0"/>
      <color theme="0"/>
      <name val="Arial"/>
      <family val="2"/>
    </font>
    <font>
      <b/>
      <sz val="12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2" borderId="0"/>
  </cellStyleXfs>
  <cellXfs count="144">
    <xf numFmtId="0" fontId="0" fillId="0" borderId="0" xfId="0"/>
    <xf numFmtId="0" fontId="4" fillId="0" borderId="0" xfId="0" applyFont="1"/>
    <xf numFmtId="0" fontId="3" fillId="0" borderId="0" xfId="0" applyFont="1"/>
    <xf numFmtId="164" fontId="5" fillId="0" borderId="0" xfId="0" applyNumberFormat="1" applyFont="1"/>
    <xf numFmtId="2" fontId="5" fillId="0" borderId="0" xfId="0" applyNumberFormat="1" applyFont="1" applyAlignment="1">
      <alignment horizontal="center"/>
    </xf>
    <xf numFmtId="164" fontId="3" fillId="0" borderId="0" xfId="0" applyNumberFormat="1" applyFont="1"/>
    <xf numFmtId="164" fontId="6" fillId="0" borderId="0" xfId="0" applyNumberFormat="1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3" fillId="2" borderId="7" xfId="0" applyFont="1" applyFill="1" applyBorder="1"/>
    <xf numFmtId="0" fontId="3" fillId="2" borderId="0" xfId="0" applyFont="1" applyFill="1"/>
    <xf numFmtId="164" fontId="3" fillId="2" borderId="8" xfId="0" applyNumberFormat="1" applyFont="1" applyFill="1" applyBorder="1"/>
    <xf numFmtId="164" fontId="3" fillId="2" borderId="0" xfId="0" applyNumberFormat="1" applyFont="1" applyFill="1" applyAlignment="1">
      <alignment horizontal="left"/>
    </xf>
    <xf numFmtId="9" fontId="3" fillId="2" borderId="0" xfId="0" applyNumberFormat="1" applyFont="1" applyFill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/>
    <xf numFmtId="0" fontId="1" fillId="2" borderId="0" xfId="0" applyFont="1" applyFill="1"/>
    <xf numFmtId="164" fontId="1" fillId="2" borderId="8" xfId="0" applyNumberFormat="1" applyFont="1" applyFill="1" applyBorder="1"/>
    <xf numFmtId="164" fontId="1" fillId="0" borderId="0" xfId="0" applyNumberFormat="1" applyFont="1"/>
    <xf numFmtId="164" fontId="1" fillId="2" borderId="0" xfId="0" applyNumberFormat="1" applyFont="1" applyFill="1" applyAlignment="1">
      <alignment horizontal="left"/>
    </xf>
    <xf numFmtId="9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8" fillId="0" borderId="0" xfId="0" applyNumberFormat="1" applyFont="1"/>
    <xf numFmtId="0" fontId="1" fillId="2" borderId="9" xfId="0" applyFont="1" applyFill="1" applyBorder="1"/>
    <xf numFmtId="0" fontId="1" fillId="2" borderId="10" xfId="0" applyFont="1" applyFill="1" applyBorder="1"/>
    <xf numFmtId="2" fontId="8" fillId="2" borderId="11" xfId="0" applyNumberFormat="1" applyFont="1" applyFill="1" applyBorder="1" applyAlignment="1">
      <alignment horizontal="center"/>
    </xf>
    <xf numFmtId="0" fontId="2" fillId="0" borderId="0" xfId="0" applyFont="1"/>
    <xf numFmtId="164" fontId="9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/>
    <xf numFmtId="2" fontId="10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165" fontId="11" fillId="2" borderId="0" xfId="0" applyNumberFormat="1" applyFont="1" applyFill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7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167" fontId="3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9" fontId="3" fillId="2" borderId="0" xfId="0" applyNumberFormat="1" applyFont="1" applyFill="1" applyAlignment="1">
      <alignment horizontal="left"/>
    </xf>
    <xf numFmtId="1" fontId="3" fillId="0" borderId="0" xfId="0" applyNumberFormat="1" applyFont="1"/>
    <xf numFmtId="0" fontId="2" fillId="2" borderId="7" xfId="0" applyFont="1" applyFill="1" applyBorder="1"/>
    <xf numFmtId="9" fontId="2" fillId="2" borderId="1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9" fontId="3" fillId="0" borderId="0" xfId="0" applyNumberFormat="1" applyFont="1"/>
    <xf numFmtId="9" fontId="17" fillId="2" borderId="1" xfId="0" applyNumberFormat="1" applyFont="1" applyFill="1" applyBorder="1" applyAlignment="1">
      <alignment horizontal="center"/>
    </xf>
    <xf numFmtId="9" fontId="17" fillId="2" borderId="1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3" fillId="2" borderId="12" xfId="0" applyFont="1" applyFill="1" applyBorder="1"/>
    <xf numFmtId="164" fontId="3" fillId="2" borderId="12" xfId="0" applyNumberFormat="1" applyFont="1" applyFill="1" applyBorder="1" applyAlignment="1">
      <alignment horizontal="left"/>
    </xf>
    <xf numFmtId="9" fontId="3" fillId="2" borderId="12" xfId="0" applyNumberFormat="1" applyFont="1" applyFill="1" applyBorder="1" applyAlignment="1">
      <alignment horizontal="left"/>
    </xf>
    <xf numFmtId="9" fontId="3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9" fontId="2" fillId="2" borderId="12" xfId="0" applyNumberFormat="1" applyFont="1" applyFill="1" applyBorder="1" applyAlignment="1">
      <alignment horizontal="left"/>
    </xf>
    <xf numFmtId="9" fontId="2" fillId="2" borderId="12" xfId="0" applyNumberFormat="1" applyFont="1" applyFill="1" applyBorder="1" applyAlignment="1">
      <alignment horizontal="center"/>
    </xf>
    <xf numFmtId="166" fontId="16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/>
    </xf>
    <xf numFmtId="0" fontId="18" fillId="2" borderId="0" xfId="0" applyFont="1" applyFill="1"/>
    <xf numFmtId="49" fontId="3" fillId="0" borderId="0" xfId="0" applyNumberFormat="1" applyFont="1"/>
    <xf numFmtId="0" fontId="1" fillId="2" borderId="12" xfId="0" applyFont="1" applyFill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168" fontId="3" fillId="0" borderId="0" xfId="0" applyNumberFormat="1" applyFont="1" applyAlignment="1">
      <alignment vertical="center"/>
    </xf>
    <xf numFmtId="0" fontId="19" fillId="0" borderId="0" xfId="0" applyFont="1"/>
    <xf numFmtId="0" fontId="20" fillId="2" borderId="0" xfId="0" applyFont="1" applyFill="1" applyAlignment="1">
      <alignment horizontal="right"/>
    </xf>
    <xf numFmtId="0" fontId="21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right"/>
    </xf>
    <xf numFmtId="2" fontId="20" fillId="2" borderId="0" xfId="0" applyNumberFormat="1" applyFont="1" applyFill="1"/>
    <xf numFmtId="0" fontId="20" fillId="2" borderId="10" xfId="0" applyFont="1" applyFill="1" applyBorder="1"/>
    <xf numFmtId="0" fontId="22" fillId="3" borderId="0" xfId="0" applyFont="1" applyFill="1"/>
    <xf numFmtId="0" fontId="23" fillId="0" borderId="0" xfId="0" applyFont="1"/>
    <xf numFmtId="0" fontId="24" fillId="0" borderId="0" xfId="0" applyFont="1"/>
    <xf numFmtId="165" fontId="11" fillId="2" borderId="0" xfId="0" applyNumberFormat="1" applyFont="1" applyFill="1" applyAlignment="1" applyProtection="1">
      <alignment horizontal="center" vertical="center"/>
      <protection locked="0"/>
    </xf>
    <xf numFmtId="1" fontId="11" fillId="2" borderId="0" xfId="0" applyNumberFormat="1" applyFont="1" applyFill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10" xfId="0" applyFont="1" applyBorder="1"/>
    <xf numFmtId="2" fontId="2" fillId="0" borderId="0" xfId="0" applyNumberFormat="1" applyFont="1" applyAlignment="1">
      <alignment horizontal="center"/>
    </xf>
    <xf numFmtId="2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2" borderId="0" xfId="0" applyFont="1" applyFill="1"/>
    <xf numFmtId="164" fontId="21" fillId="2" borderId="8" xfId="0" applyNumberFormat="1" applyFont="1" applyFill="1" applyBorder="1"/>
    <xf numFmtId="164" fontId="20" fillId="2" borderId="8" xfId="0" applyNumberFormat="1" applyFont="1" applyFill="1" applyBorder="1"/>
    <xf numFmtId="2" fontId="21" fillId="2" borderId="8" xfId="0" applyNumberFormat="1" applyFont="1" applyFill="1" applyBorder="1" applyAlignment="1">
      <alignment horizontal="center"/>
    </xf>
    <xf numFmtId="2" fontId="20" fillId="2" borderId="8" xfId="0" applyNumberFormat="1" applyFont="1" applyFill="1" applyBorder="1" applyAlignment="1">
      <alignment horizontal="center"/>
    </xf>
    <xf numFmtId="2" fontId="25" fillId="2" borderId="8" xfId="0" applyNumberFormat="1" applyFont="1" applyFill="1" applyBorder="1" applyAlignment="1">
      <alignment horizontal="center"/>
    </xf>
    <xf numFmtId="2" fontId="26" fillId="2" borderId="8" xfId="0" applyNumberFormat="1" applyFont="1" applyFill="1" applyBorder="1" applyAlignment="1">
      <alignment horizontal="center"/>
    </xf>
    <xf numFmtId="2" fontId="26" fillId="2" borderId="11" xfId="0" applyNumberFormat="1" applyFont="1" applyFill="1" applyBorder="1" applyAlignment="1">
      <alignment horizontal="center"/>
    </xf>
    <xf numFmtId="0" fontId="27" fillId="0" borderId="0" xfId="0" applyFont="1"/>
    <xf numFmtId="164" fontId="6" fillId="4" borderId="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164" fontId="3" fillId="0" borderId="0" xfId="0" applyNumberFormat="1" applyFont="1"/>
    <xf numFmtId="0" fontId="0" fillId="0" borderId="0" xfId="0"/>
    <xf numFmtId="164" fontId="18" fillId="2" borderId="0" xfId="0" applyNumberFormat="1" applyFont="1" applyFill="1"/>
    <xf numFmtId="164" fontId="17" fillId="0" borderId="0" xfId="0" applyNumberFormat="1" applyFont="1"/>
    <xf numFmtId="9" fontId="3" fillId="2" borderId="13" xfId="0" applyNumberFormat="1" applyFont="1" applyFill="1" applyBorder="1" applyAlignment="1">
      <alignment horizontal="right"/>
    </xf>
    <xf numFmtId="0" fontId="0" fillId="0" borderId="13" xfId="0" applyBorder="1"/>
    <xf numFmtId="164" fontId="3" fillId="2" borderId="0" xfId="0" applyNumberFormat="1" applyFont="1" applyFill="1"/>
    <xf numFmtId="164" fontId="0" fillId="0" borderId="0" xfId="0" applyNumberFormat="1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2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stilo 1" xfId="1" xr:uid="{00000000-0005-0000-0000-000000000000}"/>
    <cellStyle name="Normal" xfId="0" builtinId="0"/>
  </cellStyles>
  <dxfs count="28">
    <dxf>
      <font>
        <color theme="0" tint="-0.24994659260841701"/>
      </font>
    </dxf>
    <dxf>
      <font>
        <color theme="0" tint="-0.24994659260841701"/>
      </font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" formatCode="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" formatCode="#,##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" formatCode="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2</xdr:row>
      <xdr:rowOff>0</xdr:rowOff>
    </xdr:from>
    <xdr:to>
      <xdr:col>5</xdr:col>
      <xdr:colOff>9525</xdr:colOff>
      <xdr:row>3</xdr:row>
      <xdr:rowOff>5715</xdr:rowOff>
    </xdr:to>
    <xdr:pic>
      <xdr:nvPicPr>
        <xdr:cNvPr id="7" name="Imagem 6" descr="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4" y="161925"/>
          <a:ext cx="4000501" cy="38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</xdr:colOff>
      <xdr:row>2</xdr:row>
      <xdr:rowOff>0</xdr:rowOff>
    </xdr:from>
    <xdr:to>
      <xdr:col>9</xdr:col>
      <xdr:colOff>238126</xdr:colOff>
      <xdr:row>3</xdr:row>
      <xdr:rowOff>5715</xdr:rowOff>
    </xdr:to>
    <xdr:pic>
      <xdr:nvPicPr>
        <xdr:cNvPr id="2" name="Imagem 1" descr="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8802" y="314325"/>
          <a:ext cx="4238624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U830"/>
  <sheetViews>
    <sheetView tabSelected="1" zoomScaleNormal="100" workbookViewId="0">
      <selection activeCell="D9" sqref="D9:F9"/>
    </sheetView>
  </sheetViews>
  <sheetFormatPr defaultRowHeight="12.75" x14ac:dyDescent="0.2"/>
  <cols>
    <col min="1" max="1" width="3.28515625" customWidth="1"/>
    <col min="2" max="2" width="2.140625" customWidth="1"/>
    <col min="3" max="3" width="10" customWidth="1"/>
    <col min="4" max="4" width="31.42578125" customWidth="1"/>
    <col min="5" max="5" width="35.42578125" customWidth="1"/>
    <col min="6" max="6" width="11.42578125" bestFit="1" customWidth="1"/>
    <col min="7" max="7" width="2.140625" customWidth="1"/>
    <col min="8" max="8" width="3.28515625" style="32" customWidth="1"/>
    <col min="9" max="9" width="17.7109375" style="32" customWidth="1"/>
    <col min="10" max="10" width="28.5703125" style="32" customWidth="1"/>
    <col min="11" max="12" width="9.140625" style="32" customWidth="1"/>
    <col min="13" max="21" width="9.140625" style="32"/>
  </cols>
  <sheetData>
    <row r="1" spans="2:8" ht="13.5" thickBot="1" x14ac:dyDescent="0.25"/>
    <row r="2" spans="2:8" ht="11.25" customHeight="1" x14ac:dyDescent="0.2">
      <c r="B2" s="7"/>
      <c r="C2" s="8"/>
      <c r="D2" s="8"/>
      <c r="E2" s="8"/>
      <c r="F2" s="8"/>
      <c r="G2" s="9"/>
    </row>
    <row r="3" spans="2:8" ht="69.75" customHeight="1" x14ac:dyDescent="0.2">
      <c r="B3" s="10"/>
      <c r="C3" s="11"/>
      <c r="D3" s="122"/>
      <c r="E3" s="122"/>
      <c r="F3" s="11"/>
      <c r="G3" s="12"/>
    </row>
    <row r="4" spans="2:8" x14ac:dyDescent="0.2">
      <c r="B4" s="10"/>
      <c r="C4" s="11"/>
      <c r="D4" s="11"/>
      <c r="E4" s="11"/>
      <c r="F4" s="11"/>
      <c r="G4" s="12"/>
    </row>
    <row r="5" spans="2:8" ht="26.25" x14ac:dyDescent="0.4">
      <c r="B5" s="10"/>
      <c r="C5" s="121" t="s">
        <v>354</v>
      </c>
      <c r="D5" s="121"/>
      <c r="E5" s="121"/>
      <c r="F5" s="121"/>
      <c r="G5" s="12"/>
    </row>
    <row r="6" spans="2:8" s="21" customFormat="1" ht="11.25" x14ac:dyDescent="0.2">
      <c r="B6" s="19"/>
      <c r="C6" s="125" t="s">
        <v>355</v>
      </c>
      <c r="D6" s="125"/>
      <c r="E6" s="125"/>
      <c r="F6" s="125"/>
      <c r="G6" s="20"/>
    </row>
    <row r="7" spans="2:8" s="21" customFormat="1" ht="11.25" x14ac:dyDescent="0.2">
      <c r="B7" s="19"/>
      <c r="C7" s="125" t="s">
        <v>21</v>
      </c>
      <c r="D7" s="125"/>
      <c r="E7" s="125"/>
      <c r="F7" s="125"/>
      <c r="G7" s="20"/>
    </row>
    <row r="8" spans="2:8" s="21" customFormat="1" ht="11.25" x14ac:dyDescent="0.2">
      <c r="B8" s="19"/>
      <c r="C8" s="22"/>
      <c r="D8" s="22"/>
      <c r="E8" s="22"/>
      <c r="F8" s="22"/>
      <c r="G8" s="20"/>
    </row>
    <row r="9" spans="2:8" s="2" customFormat="1" ht="15" x14ac:dyDescent="0.2">
      <c r="B9" s="13"/>
      <c r="C9" s="14" t="s">
        <v>0</v>
      </c>
      <c r="D9" s="123"/>
      <c r="E9" s="123"/>
      <c r="F9" s="124"/>
      <c r="G9" s="15"/>
      <c r="H9" s="5"/>
    </row>
    <row r="10" spans="2:8" s="21" customFormat="1" ht="11.25" x14ac:dyDescent="0.2">
      <c r="B10" s="19"/>
      <c r="C10" s="22"/>
      <c r="D10" s="22"/>
      <c r="E10" s="22"/>
      <c r="F10" s="92" t="str">
        <f>IF(D9="","FALSO",1)</f>
        <v>FALSO</v>
      </c>
      <c r="G10" s="23"/>
      <c r="H10" s="24"/>
    </row>
    <row r="11" spans="2:8" s="2" customFormat="1" ht="15" x14ac:dyDescent="0.2">
      <c r="B11" s="13"/>
      <c r="C11" s="14" t="s">
        <v>356</v>
      </c>
      <c r="D11" s="14"/>
      <c r="E11" s="38"/>
      <c r="F11" s="93" t="b">
        <f>IF(E11=B33,E33,IF(E11=B34,E34,IF(E11=B35,E35,IF(E11=B36,E36,IF(E11=B37,E37,IF(E11=B38,E38,IF(E11=B39,E39,IF(E11=B40,E40))))))))</f>
        <v>0</v>
      </c>
      <c r="G11" s="111"/>
      <c r="H11" s="5"/>
    </row>
    <row r="12" spans="2:8" s="21" customFormat="1" ht="11.25" x14ac:dyDescent="0.2">
      <c r="B12" s="19"/>
      <c r="C12" s="22"/>
      <c r="D12" s="22"/>
      <c r="E12" s="22"/>
      <c r="F12" s="94"/>
      <c r="G12" s="112"/>
      <c r="H12" s="24"/>
    </row>
    <row r="13" spans="2:8" s="2" customFormat="1" ht="15" x14ac:dyDescent="0.2">
      <c r="B13" s="13"/>
      <c r="C13" s="14" t="s">
        <v>362</v>
      </c>
      <c r="D13" s="14"/>
      <c r="E13" s="38"/>
      <c r="F13" s="95" t="b">
        <f>IF(F11=1,IF(E13=C46,11,IF(E13=C47,12,IF(E13=C48,13,IF(E13=C49,14)))),IF(F11=2,IF(E13=C51,21,IF(E13=C52,22,IF(E13=C53,23,IF(E13=C54,24,IF(E13=C55,25))))),IF(F11=3,IF(E13=C57,31,IF(E13=C58,32,IF(E13=C59,33,IF(E13=C60,34)))),IF(F11=4,IF(E13=C62,41,IF(E13=C63,42,IF(E13=C64,43,IF(E13=C65,44,IF(E13=C66,45))))),IF(F11=5,IF(E13=C68,51,IF(E13=C69,52,IF(E13=C70,53,IF(E13=C71,54,IF(E13=C72,55))))),IF(F11=6,IF(E13=C74,61,IF(E13=C75,62,IF(E13=C76,63,IF(E13=C77,64,IF(E13=C78,65))))),IF(F11=7,IF(E13=C80,71,IF(E13=C81,72,IF(E13=C82,73,IF(E13=C83,74,IF(E13=C84,75))))),IF(F11=8,IF(E13=C86,81,IF(E13=C87,82,IF(E13=C88,83)))))))))))</f>
        <v>0</v>
      </c>
      <c r="G13" s="111"/>
      <c r="H13" s="5"/>
    </row>
    <row r="14" spans="2:8" s="21" customFormat="1" ht="11.25" x14ac:dyDescent="0.2">
      <c r="B14" s="19"/>
      <c r="C14" s="22"/>
      <c r="D14" s="22"/>
      <c r="E14" s="22"/>
      <c r="F14" s="94"/>
      <c r="G14" s="112"/>
      <c r="H14" s="24"/>
    </row>
    <row r="15" spans="2:8" s="2" customFormat="1" ht="15" x14ac:dyDescent="0.2">
      <c r="B15" s="13"/>
      <c r="C15" s="16" t="str">
        <f>IF(F13=12,B91,IF(F13=23,B91,IF(F13=32,B91,IF(F13=43,B91,IF(F13=53,B91,IF(F13=63,B91,IF(F13=73,B91,IF(F13=81,B93,IF(F13=82,B93,IF(F13=83,B93,B90))))))))))</f>
        <v>Qual a área bruta prevista ou existente ?:</v>
      </c>
      <c r="D15" s="17"/>
      <c r="E15" s="103"/>
      <c r="F15" s="95">
        <f>IF(C15=B90,91,IF(C15=B91,92,IF(C15=B93,94)))</f>
        <v>91</v>
      </c>
      <c r="G15" s="113"/>
      <c r="H15" s="5"/>
    </row>
    <row r="16" spans="2:8" s="2" customFormat="1" ht="15" x14ac:dyDescent="0.2">
      <c r="B16" s="13"/>
      <c r="C16" s="16" t="str">
        <f>IF(F15=92,B92,"")</f>
        <v/>
      </c>
      <c r="D16" s="17"/>
      <c r="E16" s="101"/>
      <c r="F16" s="95"/>
      <c r="G16" s="113"/>
      <c r="H16" s="5"/>
    </row>
    <row r="17" spans="2:9" s="2" customFormat="1" ht="15" x14ac:dyDescent="0.2">
      <c r="B17" s="13"/>
      <c r="C17" s="16" t="str">
        <f>IF(F11=5,B94,IF(F11=6,B94,""))</f>
        <v/>
      </c>
      <c r="D17" s="17"/>
      <c r="E17" s="102"/>
      <c r="F17" s="95"/>
      <c r="G17" s="113"/>
      <c r="H17" s="5"/>
    </row>
    <row r="18" spans="2:9" s="2" customFormat="1" ht="15" x14ac:dyDescent="0.2">
      <c r="B18" s="13"/>
      <c r="C18" s="16" t="str">
        <f>IF(F13=21,B95,IF(F13=23,B95,IF(F13=24,B95,IF(F13=41,B95,IF(F13=43,B95,IF(F13=44,B95,IF(F13=51,B95,IF(F13=53,B95,IF(F13=54,B95,IF(F13=61,B95,IF(F13=63,B95,IF(F13=64,B95,IF(F13=71,B95,IF(F13=73,B95,IF(F13=74,B95,"")))))))))))))))</f>
        <v/>
      </c>
      <c r="D18" s="17"/>
      <c r="E18" s="101"/>
      <c r="F18" s="95"/>
      <c r="G18" s="113"/>
      <c r="H18" s="5"/>
    </row>
    <row r="19" spans="2:9" s="21" customFormat="1" ht="11.25" x14ac:dyDescent="0.2">
      <c r="B19" s="19"/>
      <c r="C19" s="25"/>
      <c r="D19" s="26"/>
      <c r="E19" s="27"/>
      <c r="F19" s="94"/>
      <c r="G19" s="114"/>
      <c r="H19" s="24"/>
    </row>
    <row r="20" spans="2:9" s="2" customFormat="1" ht="15" x14ac:dyDescent="0.2">
      <c r="B20" s="13"/>
      <c r="C20" s="16" t="s">
        <v>1</v>
      </c>
      <c r="D20" s="17"/>
      <c r="E20" s="38"/>
      <c r="F20" s="93" t="b">
        <f>IF(E20=B100,1,(IF(E20=B101,2)))</f>
        <v>0</v>
      </c>
      <c r="G20" s="113"/>
      <c r="H20" s="5"/>
    </row>
    <row r="21" spans="2:9" s="21" customFormat="1" ht="11.25" x14ac:dyDescent="0.2">
      <c r="B21" s="19"/>
      <c r="C21" s="25"/>
      <c r="D21" s="26"/>
      <c r="E21" s="27"/>
      <c r="F21" s="96"/>
      <c r="G21" s="114"/>
      <c r="H21" s="24"/>
    </row>
    <row r="22" spans="2:9" s="2" customFormat="1" ht="15.75" x14ac:dyDescent="0.25">
      <c r="B22" s="13"/>
      <c r="C22" s="14" t="s">
        <v>343</v>
      </c>
      <c r="D22" s="14"/>
      <c r="E22" s="38"/>
      <c r="F22" s="93">
        <f>IF(F20=1,IF(E22=E519,F519,IF(E22=E520,F520,IF(E22=E521,F521,IF(E22=E522,F522,IF(E22=E523,F523,IF(E22=E524,F524,IF(E22=E525,F525,IF(E22=E526,F526,IF(E22=E527,F527,IF(E22=E528,F528,IF(E22=E529,F529,IF(E22=E530,F530,IF(E22=E531,F531,IF(E22=E532,F532,IF(E22=E533,F533,IF(E22=E534,F534,IF(E22=E535,F535,IF(E22=E536,F536,IF(E22=E537,F537,IF(E22=E538,F538,IF(E22=E539,F539,IF(E22=E540,F540,IF(E22=E541,F541,IF(E22=E542,F542,IF(E22=E543,F543,IF(E22=E544,F544,IF(E22=E545,F545,IF(E22=E546,F546,IF(E22=E547,F547,IF(E22=E548,F548,IF(E22=E549,F549,IF(E22=E550,F550,IF(E22=E551,F551,IF(E22=E552,F552,IF(E22=E553,F553,IF(E22=E554,F554,IF(E22=E555,F555,IF(E22=E556,F556,IF(E22=E557,F557,IF(E22=E558,F558,IF(E22=E559,F559,IF(E22=E560,F560,IF(E22=E561,F561,IF(E22=E562,F562,IF(E22=E563,F563,IF(E22=E564,F564,IF(E22=E565,F565,IF(E22=E566,F566,IF(E22=E567,F567,IF(E22=E568,F568,IF(E22=E569,F569,IF(E22=E570,F570,IF(E22=E571,F571,IF(E22=E572,F572,IF(E22=E573,F573,IF(E22=E574,F574,IF(E22=E575,F575,IF(E22=E575,F575,IF(E22=E576,F576,IF(E22=E577,F577,IF(E22=E578,F578,IF(E22=E579,F579,IF(E22=E580,F580,IF(I24=1,1,I23)))))))))))))))))))))))))))))))))))))))))))))))))))))))))))))))),I23)</f>
        <v>0</v>
      </c>
      <c r="G22" s="115"/>
      <c r="H22" s="6"/>
    </row>
    <row r="23" spans="2:9" s="21" customFormat="1" ht="15" x14ac:dyDescent="0.2">
      <c r="B23" s="19"/>
      <c r="C23" s="22"/>
      <c r="D23" s="22"/>
      <c r="E23" s="33" t="str">
        <f>IF(F20=2,IF(F22=0,"","O custo não inclui deslocações e estadia"),"")</f>
        <v/>
      </c>
      <c r="F23" s="95"/>
      <c r="G23" s="116"/>
      <c r="H23" s="28"/>
      <c r="I23" s="98">
        <f>IF(E22=B133,E133,IF(E22=B134,E134,IF(E22=B135,E135,IF(E22=B136,E136,IF(E22=B137,E137,IF(E22=B138,E138,IF(E22=B139,E139,IF(E22=B140,E140,IF(E22=B141,E141,IF(E22=B142,E142,IF(E22=B143,E143,IF(E22=B144,E144,IF(E22=B145,E145,IF(E22=B146,E146,IF(E22=B147,E147,IF(E22=B148,E148,0))))))))))))))))</f>
        <v>0</v>
      </c>
    </row>
    <row r="24" spans="2:9" s="2" customFormat="1" ht="42" customHeight="1" x14ac:dyDescent="0.25">
      <c r="B24" s="13"/>
      <c r="C24" s="14"/>
      <c r="D24" s="119" t="str">
        <f>IF(F10="FALSO","FALTA PREENCHER NOME",IF(F11=FALSE,"CORRIGIR CAMPOS",IF(F13=FALSE,"CORRIGIR CAMPOS",IF(F22=0,"CORRIGIR CAMPOS",IF(I24=0,"CORRIGIR CAMPOS",IF(E15="","CORRIGIR CAMPOS",IF(E22="","CORRIGIR CAMPOS","VER RESULTADO DO ORÇAMENTO NO SEPARADOR SEGUINTE")))))))</f>
        <v>FALTA PREENCHER NOME</v>
      </c>
      <c r="E24" s="120"/>
      <c r="F24" s="93">
        <f>IF(F22=1,IF(E22=E581,F581,IF(E22=E582,F582,IF(E22=E583,F583,IF(E22=E584,F584,IF(E22=E585,F585,IF(E22=E586,F586,IF(E22=E587,F587,IF(E22=E588,F588,IF(E22=E589,F589,IF(E22=E590,F590,IF(E22=E591,F591,IF(E22=E592,F592,IF(E22=E593,F593,IF(E22=E594,F594,IF(E22=E595,F595,IF(E22=E596,F596,IF(E22=E597,F597,IF(E22=E598,F598,IF(E22=E599,F599,IF(E22=E600,F600,IF(E22=E601,F601,IF(E22=E602,F602,IF(E22=E603,F603,IF(E22=E604,F604,IF(E22=E605,F605,IF(E22=E606,F606,IF(E22=E607,F607,IF(E22=E608,F608,IF(E22=E609,F609,IF(E22=E610,F610,IF(E22=E611,F611,IF(E22=E612,F612,IF(E22=E613,F613,IF(E22=E614,F614,IF(E22=E615,F615,IF(E22=E616,F616,IF(E22=E617,F617,IF(E22=E618,F618,IF(E22=E619,F619,IF(E22=E620,F620,IF(E22=E621,F621,IF(E22=E622,F622,IF(E22=E623,F623,IF(E22=E624,F624,IF(E22=E625,F626,IF(E22=E627,F627,IF(E22=E628,F628,IF(E22=E629,F629,IF(E22=E630,F630,IF(E22=E631,F631,IF(E22=E632,F632,IF(E22=E633,F633,IF(E22=E634,F634,IF(E22=E635,F635,IF(E22=E636,F636,IF(E22=E637,F637,IF(E22=E638,F638,IF(E22=E639,F639,IF(E22=E640,F640,IF(E22=E641,F641,IF(E22=E642,F642,IF(E22=E643,F643,IF(E22=E644,F644,IF(E22=E645,F645,1)))))))))))))))))))))))))))))))))))))))))))))))))))))))))))))))),1)</f>
        <v>1</v>
      </c>
      <c r="G24" s="115"/>
      <c r="H24" s="6"/>
      <c r="I24" s="98">
        <f>IF(F20=1,IF(I23=0,1,0),1)</f>
        <v>1</v>
      </c>
    </row>
    <row r="25" spans="2:9" s="21" customFormat="1" ht="12" thickBot="1" x14ac:dyDescent="0.25">
      <c r="B25" s="29"/>
      <c r="C25" s="30"/>
      <c r="D25" s="30"/>
      <c r="E25" s="30"/>
      <c r="F25" s="97">
        <f>IF(F22=1,IF(F24=1,IF(E22=E646,F646,IF(E22=E647,F647,IF(E22=E648,F648,IF(E22=E649,F649,IF(E22=E650,F650,IF(E22=E651,F651,IF(E22=E652,F652,IF(E22=E653,F653,IF(E22=E654,F654,IF(E22=E655,F655,IF(E22=E656,F656,IF(E22=E657,F657,IF(E22=E658,F658,IF(E22=E659,F659,IF(E22=E660,F660,IF(E22=E661,F661,IF(E22=E662,F662,IF(E22=E663,F663,IF(E22=E664,F664,IF(E22=E665,F665,IF(E22=E666,F666,IF(E22=E667,F667,IF(E22=E668,F668,IF(E22=E669,F669,IF(E22=E670,F670,IF(E22=E671,F671,IF(E22=E672,F672,IF(E22=E673,F673,IF(E22=E674,F674,IF(E22=E675,F675,IF(E22=E676,F676,IF(E22=E677,F677,IF(E22=753,F678,IF(E22=E679,F679,IF(E22=E680,F680,IF(E22=E681,F681,IF(E22=E682,F682,IF(E22=E683,F683,IF(E22=E684,F684,IF(E22=E685,F685,IF(E22=E686,F686,IF(E22=E687,F687,IF(E22=E688,F688,IF(E22=E689,F689,IF(E22=E690,F690,IF(E22=E691,F691,IF(E22=E692,F692,IF(E22=E693,F693,IF(E22=E694,F694,IF(E22=E695,F695,IF(E22=E696,F696,IF(E22=E697,F697,IF(E22=E698,F698,IF(E22=E699,F699,IF(E22=E700,F700,IF(E22=E701,F701,IF(E22=E702,F702,IF(E22=E703,F703,IF(E22=E704,F704,IF(E22=E705,F705,IF(E22=E706,F706,IF(E22=E707,F707,IF(E22=E708,F708,1))))))))))))))))))))))))))))))))))))))))))))))))))))))))))))))),1),1)</f>
        <v>1</v>
      </c>
      <c r="G25" s="117"/>
      <c r="H25" s="28"/>
      <c r="I25" s="118"/>
    </row>
    <row r="26" spans="2:9" s="1" customFormat="1" ht="15.75" x14ac:dyDescent="0.25">
      <c r="F26" s="99">
        <f>IF(F22=1,IF(F24=1,IF(F25=1,IF(E22=E709,F709,IF(E22=E710,F710,IF(E22=E711,F711,IF(E22=E712,F712,IF(E22=E713,F713,IF(E22=E714,F714,IF(E22=E715,F715,IF(E22=E716,F716,IF(E22=E717,F717,IF(E22=E718,F718,IF(E22=E719,F719,IF(E22=E720,F720,IF(E22=E721,F721,IF(E22=E722,F722,IF(E22=E723,F723,IF(E22=E724,F724,IF(E22=E725,F725,IF(E22=E726,F726,IF(E22=E727,F727,IF(E22=E728,F728,IF(E22=E729,F729,IF(E22=E730,F730,IF(E22=E731,F731,IF(E22=E732,F732,IF(E22=E733,F733,IF(E22=E734,F734,IF(E22=E735,F735,IF(E22=E736,F736,IF(E22=E737,F737,IF(E22=E738,F738,IF(E22=E739,F739,IF(E22=E740,F740,IF(E22=816,F741,IF(E22=E742,F742,IF(E22=E743,F743,IF(E22=E744,F744,IF(E22=E745,F745,IF(E22=E746,F746,IF(E22=E747,F747,IF(E22=E748,F748,IF(E22=E749,F749,IF(E22=E750,F750,IF(E22=E751,F751,IF(E22=E752,F752,IF(E22=E753,F753,IF(E22=E754,F754,IF(E22=E755,F755,IF(E22=E756,F756,IF(E22=E757,F757,IF(E22=E758,F758,IF(E22=E759,F759,IF(E22=E760,F760,IF(E22=E761,F761,IF(E22=E762,F762,IF(E22=E763,F763,IF(E22=E764,F764,IF(E22=E765,F765,IF(E22=E766,F766,IF(E22=E767,F767,IF(E22=E768,F768,IF(E22=E769,F769,IF(E22=E770,F770,1)))))))))))))))))))))))))))))))))))))))))))))))))))))))))))))),1),1),1)</f>
        <v>1</v>
      </c>
      <c r="G26" s="4"/>
      <c r="H26" s="3"/>
      <c r="I26" s="99"/>
    </row>
    <row r="27" spans="2:9" x14ac:dyDescent="0.2">
      <c r="F27" s="100">
        <f>IF(F22=1,IF(F24=1,IF(F25=1,IF(F26=1,IF(E22=E771,F771,IF(E22=E772,F772,IF(E22=E773,F773,IF(E22=E773,F773,IF(E22=E774,F774,IF(E22=E775,F775,IF(E22=E776,F776,IF(E22=E777,F777,IF(E22=E778,F778,IF(E22=E779,F779,IF(E22=E780,F780,IF(E22=E781,F781,IF(E22=E782,F782,IF(E22=E783,F783,IF(E22=E784,F784,IF(E22=E785,F785,IF(E22=E786,F786,IF(E22=E787,F787,IF(E22=E788,F788,IF(E22=E789,F789,IF(E22=E790,F790,IF(E22=E791,F791,IF(E22=E792,F792,IF(E22=E793,F793,IF(E22=E794,F794,IF(E22=E795,F795,IF(E22=E796,F796,IF(E22=E797,F797,IF(E22=E798,F798,IF(E22=E799,F799,IF(E22=E800,F800,IF(E22=E801,F801,IF(E22=877,F802,IF(E22=E803,F803,IF(E22=E804,F804,IF(E22=E805,F805,IF(E22=E806,F806,IF(E22=E807,F807,IF(E22=E808,F808,IF(E22=E809,F809,IF(E22=E810,F810,IF(E22=E811,F811,IF(E22=E812,F812,IF(E22=E813,F813,IF(E22=E814,F814,IF(E22=E815,F815,IF(E22=E816,F816,IF(E22=E817,F817,IF(E22=E818,F818,IF(E22=E819,F819,IF(E22=E820,F820,IF(E22=E821,F821,IF(E22=E822,F822,IF(E22=E823,F823,IF(E22=E824,F824,1))))))))))))))))))))))))))))))))))))))))))))))))))))))),1),1),1),1)</f>
        <v>1</v>
      </c>
      <c r="G27" s="32"/>
      <c r="I27" s="100"/>
    </row>
    <row r="28" spans="2:9" x14ac:dyDescent="0.2">
      <c r="F28" s="32"/>
      <c r="G28" s="32"/>
    </row>
    <row r="29" spans="2:9" x14ac:dyDescent="0.2">
      <c r="F29" s="32"/>
      <c r="G29" s="32"/>
    </row>
    <row r="30" spans="2:9" hidden="1" x14ac:dyDescent="0.2">
      <c r="F30" s="32"/>
      <c r="G30" s="32"/>
    </row>
    <row r="31" spans="2:9" ht="15" hidden="1" x14ac:dyDescent="0.2">
      <c r="B31" s="2" t="s">
        <v>356</v>
      </c>
      <c r="F31" s="32"/>
      <c r="G31" s="32"/>
    </row>
    <row r="32" spans="2:9" hidden="1" x14ac:dyDescent="0.2">
      <c r="F32" s="32"/>
      <c r="G32" s="32"/>
    </row>
    <row r="33" spans="2:7" s="2" customFormat="1" ht="15" hidden="1" x14ac:dyDescent="0.2">
      <c r="B33" s="2" t="s">
        <v>2</v>
      </c>
      <c r="E33" s="2">
        <v>1</v>
      </c>
    </row>
    <row r="34" spans="2:7" s="2" customFormat="1" ht="15" hidden="1" x14ac:dyDescent="0.2">
      <c r="B34" s="2" t="s">
        <v>357</v>
      </c>
      <c r="E34" s="2">
        <v>2</v>
      </c>
    </row>
    <row r="35" spans="2:7" s="2" customFormat="1" ht="15" hidden="1" x14ac:dyDescent="0.2">
      <c r="B35" s="2" t="s">
        <v>359</v>
      </c>
      <c r="E35" s="2">
        <v>3</v>
      </c>
    </row>
    <row r="36" spans="2:7" s="2" customFormat="1" ht="15" hidden="1" x14ac:dyDescent="0.2">
      <c r="B36" s="2" t="s">
        <v>3</v>
      </c>
      <c r="E36" s="2">
        <v>4</v>
      </c>
    </row>
    <row r="37" spans="2:7" s="2" customFormat="1" ht="15" hidden="1" x14ac:dyDescent="0.2">
      <c r="B37" s="2" t="s">
        <v>358</v>
      </c>
      <c r="E37" s="2">
        <v>5</v>
      </c>
    </row>
    <row r="38" spans="2:7" s="2" customFormat="1" ht="15" hidden="1" x14ac:dyDescent="0.2">
      <c r="B38" s="2" t="s">
        <v>360</v>
      </c>
      <c r="E38" s="2">
        <v>6</v>
      </c>
    </row>
    <row r="39" spans="2:7" s="2" customFormat="1" ht="15" hidden="1" x14ac:dyDescent="0.2">
      <c r="B39" s="2" t="s">
        <v>4</v>
      </c>
      <c r="E39" s="2">
        <v>7</v>
      </c>
    </row>
    <row r="40" spans="2:7" s="2" customFormat="1" ht="15" hidden="1" x14ac:dyDescent="0.2">
      <c r="B40" s="2" t="s">
        <v>361</v>
      </c>
      <c r="E40" s="2">
        <v>8</v>
      </c>
    </row>
    <row r="41" spans="2:7" hidden="1" x14ac:dyDescent="0.2">
      <c r="F41" s="32"/>
      <c r="G41" s="32"/>
    </row>
    <row r="42" spans="2:7" hidden="1" x14ac:dyDescent="0.2">
      <c r="F42" s="32"/>
      <c r="G42" s="32"/>
    </row>
    <row r="43" spans="2:7" ht="15" hidden="1" x14ac:dyDescent="0.2">
      <c r="B43" s="2" t="s">
        <v>362</v>
      </c>
      <c r="F43" s="32"/>
      <c r="G43" s="32"/>
    </row>
    <row r="44" spans="2:7" hidden="1" x14ac:dyDescent="0.2">
      <c r="F44" s="32"/>
      <c r="G44" s="32"/>
    </row>
    <row r="45" spans="2:7" s="2" customFormat="1" ht="15" hidden="1" x14ac:dyDescent="0.2">
      <c r="B45" s="2" t="s">
        <v>2</v>
      </c>
      <c r="E45" s="2">
        <v>1</v>
      </c>
    </row>
    <row r="46" spans="2:7" s="2" customFormat="1" ht="15" hidden="1" x14ac:dyDescent="0.2">
      <c r="C46" s="2" t="s">
        <v>367</v>
      </c>
      <c r="E46" s="2">
        <v>11</v>
      </c>
    </row>
    <row r="47" spans="2:7" s="2" customFormat="1" ht="15" hidden="1" x14ac:dyDescent="0.2">
      <c r="C47" s="2" t="s">
        <v>363</v>
      </c>
      <c r="E47" s="2">
        <v>12</v>
      </c>
    </row>
    <row r="48" spans="2:7" s="2" customFormat="1" ht="15" hidden="1" x14ac:dyDescent="0.2">
      <c r="C48" s="2" t="s">
        <v>364</v>
      </c>
      <c r="E48" s="2">
        <v>13</v>
      </c>
    </row>
    <row r="49" spans="2:5" s="2" customFormat="1" ht="15" hidden="1" x14ac:dyDescent="0.2">
      <c r="C49" s="2" t="s">
        <v>365</v>
      </c>
      <c r="E49" s="2">
        <v>14</v>
      </c>
    </row>
    <row r="50" spans="2:5" s="2" customFormat="1" ht="15" hidden="1" x14ac:dyDescent="0.2">
      <c r="B50" s="2" t="s">
        <v>357</v>
      </c>
      <c r="E50" s="2">
        <v>2</v>
      </c>
    </row>
    <row r="51" spans="2:5" s="2" customFormat="1" ht="15" hidden="1" x14ac:dyDescent="0.2">
      <c r="C51" s="2" t="s">
        <v>366</v>
      </c>
      <c r="E51" s="2">
        <v>21</v>
      </c>
    </row>
    <row r="52" spans="2:5" s="2" customFormat="1" ht="15" hidden="1" x14ac:dyDescent="0.2">
      <c r="C52" s="2" t="s">
        <v>367</v>
      </c>
      <c r="E52" s="2">
        <v>22</v>
      </c>
    </row>
    <row r="53" spans="2:5" s="2" customFormat="1" ht="15" hidden="1" x14ac:dyDescent="0.2">
      <c r="C53" s="2" t="s">
        <v>363</v>
      </c>
      <c r="E53" s="2">
        <v>23</v>
      </c>
    </row>
    <row r="54" spans="2:5" s="2" customFormat="1" ht="15" hidden="1" x14ac:dyDescent="0.2">
      <c r="C54" s="2" t="s">
        <v>364</v>
      </c>
      <c r="E54" s="2">
        <v>24</v>
      </c>
    </row>
    <row r="55" spans="2:5" s="2" customFormat="1" ht="15" hidden="1" x14ac:dyDescent="0.2">
      <c r="C55" s="2" t="s">
        <v>365</v>
      </c>
      <c r="E55" s="2">
        <v>25</v>
      </c>
    </row>
    <row r="56" spans="2:5" s="2" customFormat="1" ht="15" hidden="1" x14ac:dyDescent="0.2">
      <c r="B56" s="2" t="s">
        <v>359</v>
      </c>
      <c r="E56" s="2">
        <v>3</v>
      </c>
    </row>
    <row r="57" spans="2:5" s="2" customFormat="1" ht="15" hidden="1" x14ac:dyDescent="0.2">
      <c r="C57" s="2" t="s">
        <v>367</v>
      </c>
      <c r="E57" s="2">
        <v>31</v>
      </c>
    </row>
    <row r="58" spans="2:5" s="2" customFormat="1" ht="15" hidden="1" x14ac:dyDescent="0.2">
      <c r="C58" s="2" t="s">
        <v>363</v>
      </c>
      <c r="E58" s="2">
        <v>32</v>
      </c>
    </row>
    <row r="59" spans="2:5" s="2" customFormat="1" ht="15" hidden="1" x14ac:dyDescent="0.2">
      <c r="C59" s="2" t="s">
        <v>364</v>
      </c>
      <c r="E59" s="2">
        <v>33</v>
      </c>
    </row>
    <row r="60" spans="2:5" s="2" customFormat="1" ht="15" hidden="1" x14ac:dyDescent="0.2">
      <c r="C60" s="2" t="s">
        <v>365</v>
      </c>
      <c r="E60" s="2">
        <v>34</v>
      </c>
    </row>
    <row r="61" spans="2:5" s="2" customFormat="1" ht="15" hidden="1" x14ac:dyDescent="0.2">
      <c r="B61" s="2" t="s">
        <v>3</v>
      </c>
      <c r="E61" s="2">
        <v>4</v>
      </c>
    </row>
    <row r="62" spans="2:5" s="2" customFormat="1" ht="15" hidden="1" x14ac:dyDescent="0.2">
      <c r="C62" s="2" t="s">
        <v>366</v>
      </c>
      <c r="E62" s="2">
        <v>41</v>
      </c>
    </row>
    <row r="63" spans="2:5" s="2" customFormat="1" ht="15" hidden="1" x14ac:dyDescent="0.2">
      <c r="C63" s="2" t="s">
        <v>367</v>
      </c>
      <c r="E63" s="2">
        <v>42</v>
      </c>
    </row>
    <row r="64" spans="2:5" s="2" customFormat="1" ht="15" hidden="1" x14ac:dyDescent="0.2">
      <c r="C64" s="2" t="s">
        <v>363</v>
      </c>
      <c r="E64" s="2">
        <v>43</v>
      </c>
    </row>
    <row r="65" spans="2:5" s="2" customFormat="1" ht="15" hidden="1" x14ac:dyDescent="0.2">
      <c r="C65" s="2" t="s">
        <v>364</v>
      </c>
      <c r="E65" s="2">
        <v>44</v>
      </c>
    </row>
    <row r="66" spans="2:5" s="2" customFormat="1" ht="15" hidden="1" x14ac:dyDescent="0.2">
      <c r="C66" s="2" t="s">
        <v>365</v>
      </c>
      <c r="E66" s="2">
        <v>45</v>
      </c>
    </row>
    <row r="67" spans="2:5" s="2" customFormat="1" ht="15" hidden="1" x14ac:dyDescent="0.2">
      <c r="B67" s="2" t="s">
        <v>358</v>
      </c>
      <c r="E67" s="2">
        <v>5</v>
      </c>
    </row>
    <row r="68" spans="2:5" s="2" customFormat="1" ht="15" hidden="1" x14ac:dyDescent="0.2">
      <c r="C68" s="2" t="s">
        <v>366</v>
      </c>
      <c r="E68" s="2">
        <v>51</v>
      </c>
    </row>
    <row r="69" spans="2:5" s="2" customFormat="1" ht="15" hidden="1" x14ac:dyDescent="0.2">
      <c r="C69" s="2" t="s">
        <v>367</v>
      </c>
      <c r="E69" s="2">
        <v>52</v>
      </c>
    </row>
    <row r="70" spans="2:5" s="2" customFormat="1" ht="15" hidden="1" x14ac:dyDescent="0.2">
      <c r="C70" s="2" t="s">
        <v>363</v>
      </c>
      <c r="E70" s="2">
        <v>53</v>
      </c>
    </row>
    <row r="71" spans="2:5" s="2" customFormat="1" ht="15" hidden="1" x14ac:dyDescent="0.2">
      <c r="C71" s="2" t="s">
        <v>364</v>
      </c>
      <c r="E71" s="2">
        <v>54</v>
      </c>
    </row>
    <row r="72" spans="2:5" s="2" customFormat="1" ht="15" hidden="1" x14ac:dyDescent="0.2">
      <c r="C72" s="2" t="s">
        <v>365</v>
      </c>
      <c r="E72" s="2">
        <v>55</v>
      </c>
    </row>
    <row r="73" spans="2:5" s="2" customFormat="1" ht="15" hidden="1" x14ac:dyDescent="0.2">
      <c r="B73" s="2" t="s">
        <v>360</v>
      </c>
      <c r="E73" s="2">
        <v>6</v>
      </c>
    </row>
    <row r="74" spans="2:5" s="2" customFormat="1" ht="15" hidden="1" x14ac:dyDescent="0.2">
      <c r="C74" s="2" t="s">
        <v>366</v>
      </c>
      <c r="E74" s="2">
        <v>61</v>
      </c>
    </row>
    <row r="75" spans="2:5" s="2" customFormat="1" ht="15" hidden="1" x14ac:dyDescent="0.2">
      <c r="C75" s="2" t="s">
        <v>367</v>
      </c>
      <c r="E75" s="2">
        <v>62</v>
      </c>
    </row>
    <row r="76" spans="2:5" s="2" customFormat="1" ht="15" hidden="1" x14ac:dyDescent="0.2">
      <c r="C76" s="2" t="s">
        <v>363</v>
      </c>
      <c r="E76" s="2">
        <v>63</v>
      </c>
    </row>
    <row r="77" spans="2:5" s="2" customFormat="1" ht="15" hidden="1" x14ac:dyDescent="0.2">
      <c r="C77" s="2" t="s">
        <v>364</v>
      </c>
      <c r="E77" s="2">
        <v>64</v>
      </c>
    </row>
    <row r="78" spans="2:5" s="2" customFormat="1" ht="15" hidden="1" x14ac:dyDescent="0.2">
      <c r="C78" s="2" t="s">
        <v>365</v>
      </c>
      <c r="E78" s="2">
        <v>65</v>
      </c>
    </row>
    <row r="79" spans="2:5" s="2" customFormat="1" ht="15" hidden="1" x14ac:dyDescent="0.2">
      <c r="B79" s="2" t="s">
        <v>4</v>
      </c>
      <c r="E79" s="2">
        <v>7</v>
      </c>
    </row>
    <row r="80" spans="2:5" s="2" customFormat="1" ht="15" hidden="1" x14ac:dyDescent="0.2">
      <c r="C80" s="2" t="s">
        <v>366</v>
      </c>
      <c r="E80" s="2">
        <v>71</v>
      </c>
    </row>
    <row r="81" spans="2:5" s="2" customFormat="1" ht="15" hidden="1" x14ac:dyDescent="0.2">
      <c r="C81" s="2" t="s">
        <v>367</v>
      </c>
      <c r="E81" s="2">
        <v>72</v>
      </c>
    </row>
    <row r="82" spans="2:5" s="2" customFormat="1" ht="15" hidden="1" x14ac:dyDescent="0.2">
      <c r="C82" s="2" t="s">
        <v>363</v>
      </c>
      <c r="E82" s="2">
        <v>73</v>
      </c>
    </row>
    <row r="83" spans="2:5" s="2" customFormat="1" ht="15" hidden="1" x14ac:dyDescent="0.2">
      <c r="C83" s="2" t="s">
        <v>364</v>
      </c>
      <c r="E83" s="2">
        <v>74</v>
      </c>
    </row>
    <row r="84" spans="2:5" s="2" customFormat="1" ht="15" hidden="1" x14ac:dyDescent="0.2">
      <c r="C84" s="2" t="s">
        <v>365</v>
      </c>
      <c r="E84" s="2">
        <v>75</v>
      </c>
    </row>
    <row r="85" spans="2:5" s="2" customFormat="1" ht="15" hidden="1" x14ac:dyDescent="0.2">
      <c r="B85" s="2" t="s">
        <v>361</v>
      </c>
      <c r="E85" s="2">
        <v>8</v>
      </c>
    </row>
    <row r="86" spans="2:5" s="2" customFormat="1" ht="15" hidden="1" x14ac:dyDescent="0.2">
      <c r="C86" s="2" t="s">
        <v>368</v>
      </c>
      <c r="E86" s="2">
        <v>81</v>
      </c>
    </row>
    <row r="87" spans="2:5" s="2" customFormat="1" ht="15" hidden="1" x14ac:dyDescent="0.2">
      <c r="C87" s="2" t="s">
        <v>369</v>
      </c>
      <c r="E87" s="2">
        <v>82</v>
      </c>
    </row>
    <row r="88" spans="2:5" s="2" customFormat="1" ht="15" hidden="1" x14ac:dyDescent="0.2">
      <c r="C88" s="2" t="s">
        <v>370</v>
      </c>
      <c r="E88" s="2">
        <v>83</v>
      </c>
    </row>
    <row r="89" spans="2:5" s="2" customFormat="1" ht="15" hidden="1" x14ac:dyDescent="0.2"/>
    <row r="90" spans="2:5" s="2" customFormat="1" ht="15" hidden="1" x14ac:dyDescent="0.2">
      <c r="B90" s="2" t="s">
        <v>372</v>
      </c>
      <c r="E90" s="2">
        <v>91</v>
      </c>
    </row>
    <row r="91" spans="2:5" s="2" customFormat="1" ht="15" hidden="1" x14ac:dyDescent="0.2">
      <c r="B91" s="2" t="s">
        <v>371</v>
      </c>
      <c r="E91" s="2">
        <v>92</v>
      </c>
    </row>
    <row r="92" spans="2:5" s="2" customFormat="1" ht="15" hidden="1" x14ac:dyDescent="0.2">
      <c r="B92" s="2" t="s">
        <v>373</v>
      </c>
      <c r="E92" s="2">
        <v>93</v>
      </c>
    </row>
    <row r="93" spans="2:5" s="2" customFormat="1" ht="15" hidden="1" x14ac:dyDescent="0.2">
      <c r="B93" s="2" t="s">
        <v>374</v>
      </c>
      <c r="E93" s="2">
        <v>94</v>
      </c>
    </row>
    <row r="94" spans="2:5" s="2" customFormat="1" ht="15" hidden="1" x14ac:dyDescent="0.2">
      <c r="B94" s="2" t="s">
        <v>375</v>
      </c>
      <c r="E94" s="2">
        <v>95</v>
      </c>
    </row>
    <row r="95" spans="2:5" s="2" customFormat="1" ht="15" hidden="1" x14ac:dyDescent="0.2">
      <c r="B95" s="2" t="s">
        <v>450</v>
      </c>
      <c r="E95" s="2">
        <v>96</v>
      </c>
    </row>
    <row r="96" spans="2:5" s="2" customFormat="1" ht="15" hidden="1" x14ac:dyDescent="0.2"/>
    <row r="97" spans="2:2" s="2" customFormat="1" ht="15" hidden="1" x14ac:dyDescent="0.2"/>
    <row r="98" spans="2:2" s="2" customFormat="1" ht="15" hidden="1" x14ac:dyDescent="0.2"/>
    <row r="99" spans="2:2" s="2" customFormat="1" ht="15" hidden="1" x14ac:dyDescent="0.2"/>
    <row r="100" spans="2:2" s="2" customFormat="1" ht="15" hidden="1" x14ac:dyDescent="0.2">
      <c r="B100" s="2" t="s">
        <v>5</v>
      </c>
    </row>
    <row r="101" spans="2:2" s="2" customFormat="1" ht="15" hidden="1" x14ac:dyDescent="0.2">
      <c r="B101" s="2" t="s">
        <v>6</v>
      </c>
    </row>
    <row r="102" spans="2:2" s="2" customFormat="1" ht="15" hidden="1" x14ac:dyDescent="0.2"/>
    <row r="103" spans="2:2" s="2" customFormat="1" ht="15" hidden="1" x14ac:dyDescent="0.2">
      <c r="B103" s="2" t="s">
        <v>7</v>
      </c>
    </row>
    <row r="104" spans="2:2" s="2" customFormat="1" ht="15" hidden="1" x14ac:dyDescent="0.2">
      <c r="B104" s="2" t="s">
        <v>8</v>
      </c>
    </row>
    <row r="105" spans="2:2" s="2" customFormat="1" ht="15" hidden="1" x14ac:dyDescent="0.2">
      <c r="B105" s="2" t="s">
        <v>9</v>
      </c>
    </row>
    <row r="106" spans="2:2" s="2" customFormat="1" ht="15" hidden="1" x14ac:dyDescent="0.2">
      <c r="B106" s="2" t="s">
        <v>10</v>
      </c>
    </row>
    <row r="107" spans="2:2" s="2" customFormat="1" ht="15" hidden="1" x14ac:dyDescent="0.2">
      <c r="B107" s="2" t="s">
        <v>11</v>
      </c>
    </row>
    <row r="108" spans="2:2" s="2" customFormat="1" ht="15" hidden="1" x14ac:dyDescent="0.2">
      <c r="B108" s="2" t="s">
        <v>12</v>
      </c>
    </row>
    <row r="109" spans="2:2" s="2" customFormat="1" ht="15" hidden="1" x14ac:dyDescent="0.2">
      <c r="B109" s="2" t="s">
        <v>13</v>
      </c>
    </row>
    <row r="110" spans="2:2" s="2" customFormat="1" ht="15" hidden="1" x14ac:dyDescent="0.2">
      <c r="B110" s="2" t="s">
        <v>14</v>
      </c>
    </row>
    <row r="111" spans="2:2" s="2" customFormat="1" ht="15" hidden="1" x14ac:dyDescent="0.2">
      <c r="B111" s="2" t="s">
        <v>15</v>
      </c>
    </row>
    <row r="112" spans="2:2" s="2" customFormat="1" ht="15" hidden="1" x14ac:dyDescent="0.2">
      <c r="B112" s="2" t="s">
        <v>16</v>
      </c>
    </row>
    <row r="113" spans="2:2" s="2" customFormat="1" ht="15" hidden="1" x14ac:dyDescent="0.2">
      <c r="B113" s="2" t="s">
        <v>17</v>
      </c>
    </row>
    <row r="114" spans="2:2" s="2" customFormat="1" ht="15" hidden="1" x14ac:dyDescent="0.2">
      <c r="B114" s="2" t="s">
        <v>18</v>
      </c>
    </row>
    <row r="115" spans="2:2" s="2" customFormat="1" ht="15" hidden="1" x14ac:dyDescent="0.2">
      <c r="B115" s="2" t="s">
        <v>19</v>
      </c>
    </row>
    <row r="116" spans="2:2" s="2" customFormat="1" ht="15" hidden="1" x14ac:dyDescent="0.2">
      <c r="B116" s="2" t="s">
        <v>20</v>
      </c>
    </row>
    <row r="117" spans="2:2" s="2" customFormat="1" ht="15" hidden="1" x14ac:dyDescent="0.2">
      <c r="B117" s="2" t="s">
        <v>22</v>
      </c>
    </row>
    <row r="118" spans="2:2" s="2" customFormat="1" ht="15" hidden="1" x14ac:dyDescent="0.2">
      <c r="B118" s="2" t="s">
        <v>23</v>
      </c>
    </row>
    <row r="119" spans="2:2" s="2" customFormat="1" ht="15" hidden="1" x14ac:dyDescent="0.2">
      <c r="B119" s="2" t="s">
        <v>24</v>
      </c>
    </row>
    <row r="120" spans="2:2" s="2" customFormat="1" ht="15" hidden="1" x14ac:dyDescent="0.2">
      <c r="B120" s="2" t="s">
        <v>25</v>
      </c>
    </row>
    <row r="121" spans="2:2" s="2" customFormat="1" ht="15" hidden="1" x14ac:dyDescent="0.2">
      <c r="B121" s="2" t="s">
        <v>26</v>
      </c>
    </row>
    <row r="122" spans="2:2" s="2" customFormat="1" ht="15" hidden="1" x14ac:dyDescent="0.2">
      <c r="B122" s="2" t="s">
        <v>27</v>
      </c>
    </row>
    <row r="123" spans="2:2" s="2" customFormat="1" ht="15" hidden="1" x14ac:dyDescent="0.2">
      <c r="B123" s="2" t="s">
        <v>28</v>
      </c>
    </row>
    <row r="124" spans="2:2" s="2" customFormat="1" ht="15" hidden="1" x14ac:dyDescent="0.2">
      <c r="B124" s="2" t="s">
        <v>29</v>
      </c>
    </row>
    <row r="125" spans="2:2" s="2" customFormat="1" ht="15" hidden="1" x14ac:dyDescent="0.2">
      <c r="B125" s="2" t="s">
        <v>30</v>
      </c>
    </row>
    <row r="126" spans="2:2" s="2" customFormat="1" ht="15" hidden="1" x14ac:dyDescent="0.2">
      <c r="B126" s="2" t="s">
        <v>31</v>
      </c>
    </row>
    <row r="127" spans="2:2" s="2" customFormat="1" ht="15" hidden="1" x14ac:dyDescent="0.2">
      <c r="B127" s="2" t="s">
        <v>32</v>
      </c>
    </row>
    <row r="128" spans="2:2" s="2" customFormat="1" ht="15" hidden="1" x14ac:dyDescent="0.2">
      <c r="B128" s="2" t="s">
        <v>33</v>
      </c>
    </row>
    <row r="129" spans="2:5" s="2" customFormat="1" ht="15" hidden="1" x14ac:dyDescent="0.2">
      <c r="B129" s="2" t="s">
        <v>34</v>
      </c>
    </row>
    <row r="130" spans="2:5" s="2" customFormat="1" ht="15" hidden="1" x14ac:dyDescent="0.2">
      <c r="B130" s="2" t="s">
        <v>35</v>
      </c>
    </row>
    <row r="131" spans="2:5" s="2" customFormat="1" ht="15" hidden="1" x14ac:dyDescent="0.2">
      <c r="B131" s="2" t="s">
        <v>36</v>
      </c>
    </row>
    <row r="132" spans="2:5" s="2" customFormat="1" ht="15" hidden="1" x14ac:dyDescent="0.2"/>
    <row r="133" spans="2:5" s="2" customFormat="1" ht="15" hidden="1" x14ac:dyDescent="0.2">
      <c r="B133" s="2" t="s">
        <v>327</v>
      </c>
      <c r="E133" s="2">
        <v>1.5</v>
      </c>
    </row>
    <row r="134" spans="2:5" s="2" customFormat="1" ht="15" hidden="1" x14ac:dyDescent="0.2">
      <c r="B134" s="2" t="s">
        <v>328</v>
      </c>
      <c r="E134" s="2">
        <v>1.75</v>
      </c>
    </row>
    <row r="135" spans="2:5" s="2" customFormat="1" ht="15" hidden="1" x14ac:dyDescent="0.2">
      <c r="B135" s="2" t="s">
        <v>329</v>
      </c>
      <c r="E135" s="2">
        <v>2</v>
      </c>
    </row>
    <row r="136" spans="2:5" s="2" customFormat="1" ht="15" hidden="1" x14ac:dyDescent="0.2">
      <c r="B136" s="2" t="s">
        <v>330</v>
      </c>
      <c r="E136" s="2">
        <v>1.75</v>
      </c>
    </row>
    <row r="137" spans="2:5" s="2" customFormat="1" ht="15" hidden="1" x14ac:dyDescent="0.2">
      <c r="B137" s="2" t="s">
        <v>331</v>
      </c>
      <c r="E137" s="2">
        <v>2.25</v>
      </c>
    </row>
    <row r="138" spans="2:5" s="2" customFormat="1" ht="15" hidden="1" x14ac:dyDescent="0.2">
      <c r="B138" s="2" t="s">
        <v>332</v>
      </c>
      <c r="E138" s="2">
        <v>2.5</v>
      </c>
    </row>
    <row r="139" spans="2:5" s="2" customFormat="1" ht="15" hidden="1" x14ac:dyDescent="0.2">
      <c r="B139" s="2" t="s">
        <v>333</v>
      </c>
      <c r="E139" s="2">
        <v>2.75</v>
      </c>
    </row>
    <row r="140" spans="2:5" s="2" customFormat="1" ht="15" hidden="1" x14ac:dyDescent="0.2">
      <c r="B140" s="2" t="s">
        <v>334</v>
      </c>
      <c r="E140" s="2">
        <v>2.75</v>
      </c>
    </row>
    <row r="141" spans="2:5" s="2" customFormat="1" ht="15" hidden="1" x14ac:dyDescent="0.2">
      <c r="B141" s="2" t="s">
        <v>335</v>
      </c>
      <c r="E141" s="2">
        <v>2.5</v>
      </c>
    </row>
    <row r="142" spans="2:5" s="2" customFormat="1" ht="15" hidden="1" x14ac:dyDescent="0.2">
      <c r="B142" s="2" t="s">
        <v>336</v>
      </c>
      <c r="E142" s="2">
        <v>3</v>
      </c>
    </row>
    <row r="143" spans="2:5" s="2" customFormat="1" ht="15" hidden="1" x14ac:dyDescent="0.2">
      <c r="B143" s="2" t="s">
        <v>337</v>
      </c>
      <c r="E143" s="2">
        <v>3.25</v>
      </c>
    </row>
    <row r="144" spans="2:5" s="2" customFormat="1" ht="15" hidden="1" x14ac:dyDescent="0.2">
      <c r="B144" s="2" t="s">
        <v>338</v>
      </c>
      <c r="E144" s="2">
        <v>3.5</v>
      </c>
    </row>
    <row r="145" spans="2:6" s="2" customFormat="1" ht="15" hidden="1" x14ac:dyDescent="0.2">
      <c r="B145" s="2" t="s">
        <v>339</v>
      </c>
      <c r="E145" s="2">
        <v>2.5</v>
      </c>
    </row>
    <row r="146" spans="2:6" s="2" customFormat="1" ht="15" hidden="1" x14ac:dyDescent="0.2">
      <c r="B146" s="2" t="s">
        <v>340</v>
      </c>
      <c r="E146" s="2">
        <v>2.75</v>
      </c>
    </row>
    <row r="147" spans="2:6" s="2" customFormat="1" ht="15" hidden="1" x14ac:dyDescent="0.2">
      <c r="B147" s="2" t="s">
        <v>341</v>
      </c>
      <c r="E147" s="2">
        <v>3</v>
      </c>
    </row>
    <row r="148" spans="2:6" s="2" customFormat="1" ht="15" hidden="1" x14ac:dyDescent="0.2">
      <c r="B148" s="2" t="s">
        <v>342</v>
      </c>
      <c r="E148" s="2">
        <v>3.5</v>
      </c>
    </row>
    <row r="149" spans="2:6" s="2" customFormat="1" ht="15" hidden="1" x14ac:dyDescent="0.2"/>
    <row r="150" spans="2:6" s="2" customFormat="1" ht="15" hidden="1" x14ac:dyDescent="0.2"/>
    <row r="151" spans="2:6" s="2" customFormat="1" ht="18.75" hidden="1" x14ac:dyDescent="0.3">
      <c r="C151" s="34" t="s">
        <v>37</v>
      </c>
      <c r="D151" s="34"/>
      <c r="E151" s="34" t="s">
        <v>38</v>
      </c>
      <c r="F151" s="34" t="s">
        <v>39</v>
      </c>
    </row>
    <row r="152" spans="2:6" s="2" customFormat="1" ht="15" hidden="1" x14ac:dyDescent="0.2">
      <c r="C152"/>
      <c r="D152"/>
      <c r="E152" t="s">
        <v>40</v>
      </c>
      <c r="F152" s="104">
        <v>1.1399999999999999</v>
      </c>
    </row>
    <row r="153" spans="2:6" s="2" customFormat="1" ht="15" hidden="1" x14ac:dyDescent="0.2">
      <c r="C153"/>
      <c r="D153"/>
      <c r="E153" t="s">
        <v>41</v>
      </c>
      <c r="F153" s="104">
        <v>1.1499999999999999</v>
      </c>
    </row>
    <row r="154" spans="2:6" s="2" customFormat="1" ht="15" hidden="1" x14ac:dyDescent="0.2">
      <c r="C154"/>
      <c r="D154"/>
      <c r="E154" t="s">
        <v>42</v>
      </c>
      <c r="F154" s="104">
        <v>1.1299999999999999</v>
      </c>
    </row>
    <row r="155" spans="2:6" s="2" customFormat="1" ht="15" hidden="1" x14ac:dyDescent="0.2">
      <c r="C155"/>
      <c r="D155"/>
      <c r="E155" t="s">
        <v>43</v>
      </c>
      <c r="F155" s="104">
        <v>1.17</v>
      </c>
    </row>
    <row r="156" spans="2:6" s="2" customFormat="1" ht="15" hidden="1" x14ac:dyDescent="0.2">
      <c r="C156"/>
      <c r="D156"/>
      <c r="E156" t="s">
        <v>7</v>
      </c>
      <c r="F156" s="104">
        <v>1.1399999999999999</v>
      </c>
    </row>
    <row r="157" spans="2:6" s="2" customFormat="1" ht="15" hidden="1" x14ac:dyDescent="0.2">
      <c r="C157"/>
      <c r="D157"/>
      <c r="E157" t="s">
        <v>44</v>
      </c>
      <c r="F157" s="104">
        <v>1.18</v>
      </c>
    </row>
    <row r="158" spans="2:6" s="2" customFormat="1" ht="15" hidden="1" x14ac:dyDescent="0.2">
      <c r="C158"/>
      <c r="D158"/>
      <c r="E158" t="s">
        <v>45</v>
      </c>
      <c r="F158" s="104">
        <v>1.18</v>
      </c>
    </row>
    <row r="159" spans="2:6" s="2" customFormat="1" ht="15" hidden="1" x14ac:dyDescent="0.2">
      <c r="C159" t="s">
        <v>7</v>
      </c>
      <c r="D159"/>
      <c r="E159" t="s">
        <v>46</v>
      </c>
      <c r="F159" s="104">
        <v>1.1599999999999999</v>
      </c>
    </row>
    <row r="160" spans="2:6" s="2" customFormat="1" ht="15" hidden="1" x14ac:dyDescent="0.2">
      <c r="C160"/>
      <c r="D160"/>
      <c r="E160" t="s">
        <v>47</v>
      </c>
      <c r="F160" s="104">
        <v>1.1399999999999999</v>
      </c>
    </row>
    <row r="161" spans="3:6" s="2" customFormat="1" ht="15" hidden="1" x14ac:dyDescent="0.2">
      <c r="C161"/>
      <c r="D161"/>
      <c r="E161" t="s">
        <v>48</v>
      </c>
      <c r="F161" s="104">
        <v>1.1399999999999999</v>
      </c>
    </row>
    <row r="162" spans="3:6" s="2" customFormat="1" ht="15" hidden="1" x14ac:dyDescent="0.2">
      <c r="C162"/>
      <c r="D162"/>
      <c r="E162" t="s">
        <v>49</v>
      </c>
      <c r="F162" s="104">
        <v>1.1499999999999999</v>
      </c>
    </row>
    <row r="163" spans="3:6" s="2" customFormat="1" ht="15" hidden="1" x14ac:dyDescent="0.2">
      <c r="C163"/>
      <c r="D163"/>
      <c r="E163" t="s">
        <v>50</v>
      </c>
      <c r="F163" s="104">
        <v>1.1599999999999999</v>
      </c>
    </row>
    <row r="164" spans="3:6" s="2" customFormat="1" ht="15" hidden="1" x14ac:dyDescent="0.2">
      <c r="C164"/>
      <c r="D164"/>
      <c r="E164" t="s">
        <v>51</v>
      </c>
      <c r="F164" s="104">
        <v>1.1299999999999999</v>
      </c>
    </row>
    <row r="165" spans="3:6" s="2" customFormat="1" ht="15" hidden="1" x14ac:dyDescent="0.2">
      <c r="C165"/>
      <c r="D165"/>
      <c r="E165" t="s">
        <v>52</v>
      </c>
      <c r="F165" s="104">
        <v>1.17</v>
      </c>
    </row>
    <row r="166" spans="3:6" s="2" customFormat="1" ht="15" hidden="1" x14ac:dyDescent="0.2">
      <c r="C166"/>
      <c r="D166"/>
      <c r="E166" t="s">
        <v>53</v>
      </c>
      <c r="F166" s="104">
        <v>1.18</v>
      </c>
    </row>
    <row r="167" spans="3:6" s="2" customFormat="1" ht="15" hidden="1" x14ac:dyDescent="0.2">
      <c r="C167"/>
      <c r="D167"/>
      <c r="E167" t="s">
        <v>54</v>
      </c>
      <c r="F167" s="104">
        <v>1.18</v>
      </c>
    </row>
    <row r="168" spans="3:6" s="2" customFormat="1" ht="15" hidden="1" x14ac:dyDescent="0.2">
      <c r="C168"/>
      <c r="D168"/>
      <c r="E168" t="s">
        <v>55</v>
      </c>
      <c r="F168" s="104">
        <v>1.1599999999999999</v>
      </c>
    </row>
    <row r="169" spans="3:6" s="2" customFormat="1" ht="15" hidden="1" x14ac:dyDescent="0.2">
      <c r="C169"/>
      <c r="D169"/>
      <c r="E169" t="s">
        <v>56</v>
      </c>
      <c r="F169" s="104">
        <v>1.1299999999999999</v>
      </c>
    </row>
    <row r="170" spans="3:6" s="2" customFormat="1" ht="15" hidden="1" x14ac:dyDescent="0.2">
      <c r="C170"/>
      <c r="D170"/>
      <c r="E170" t="s">
        <v>57</v>
      </c>
      <c r="F170" s="104">
        <v>1.17</v>
      </c>
    </row>
    <row r="171" spans="3:6" s="2" customFormat="1" ht="15.75" hidden="1" thickBot="1" x14ac:dyDescent="0.25">
      <c r="C171" s="35"/>
      <c r="D171" s="35"/>
      <c r="E171" s="35"/>
      <c r="F171" s="105"/>
    </row>
    <row r="172" spans="3:6" s="2" customFormat="1" ht="18.75" hidden="1" x14ac:dyDescent="0.3">
      <c r="C172" s="34" t="s">
        <v>37</v>
      </c>
      <c r="D172"/>
      <c r="E172" s="34" t="s">
        <v>38</v>
      </c>
      <c r="F172" s="34" t="s">
        <v>39</v>
      </c>
    </row>
    <row r="173" spans="3:6" s="2" customFormat="1" ht="15" hidden="1" x14ac:dyDescent="0.2">
      <c r="C173"/>
      <c r="D173"/>
      <c r="E173" t="s">
        <v>58</v>
      </c>
      <c r="F173" s="104">
        <v>1.05</v>
      </c>
    </row>
    <row r="174" spans="3:6" s="2" customFormat="1" ht="15" hidden="1" x14ac:dyDescent="0.2">
      <c r="C174"/>
      <c r="D174"/>
      <c r="E174" t="s">
        <v>59</v>
      </c>
      <c r="F174" s="104">
        <v>1.07</v>
      </c>
    </row>
    <row r="175" spans="3:6" s="2" customFormat="1" ht="15" hidden="1" x14ac:dyDescent="0.2">
      <c r="C175"/>
      <c r="D175"/>
      <c r="E175" t="s">
        <v>60</v>
      </c>
      <c r="F175" s="104">
        <v>1.04</v>
      </c>
    </row>
    <row r="176" spans="3:6" s="2" customFormat="1" ht="15" hidden="1" x14ac:dyDescent="0.2">
      <c r="C176"/>
      <c r="D176"/>
      <c r="E176" t="s">
        <v>61</v>
      </c>
      <c r="F176" s="104">
        <v>1.07</v>
      </c>
    </row>
    <row r="177" spans="3:6" s="2" customFormat="1" ht="15" hidden="1" x14ac:dyDescent="0.2">
      <c r="C177"/>
      <c r="D177"/>
      <c r="E177" t="s">
        <v>8</v>
      </c>
      <c r="F177" s="104">
        <v>1.05</v>
      </c>
    </row>
    <row r="178" spans="3:6" s="2" customFormat="1" ht="15" hidden="1" x14ac:dyDescent="0.2">
      <c r="C178"/>
      <c r="D178"/>
      <c r="E178" t="s">
        <v>62</v>
      </c>
      <c r="F178" s="104">
        <v>1.06</v>
      </c>
    </row>
    <row r="179" spans="3:6" s="2" customFormat="1" ht="15" hidden="1" x14ac:dyDescent="0.2">
      <c r="C179" t="s">
        <v>8</v>
      </c>
      <c r="D179"/>
      <c r="E179" t="s">
        <v>63</v>
      </c>
      <c r="F179" s="104">
        <v>1.05</v>
      </c>
    </row>
    <row r="180" spans="3:6" s="2" customFormat="1" ht="15" hidden="1" x14ac:dyDescent="0.2">
      <c r="C180"/>
      <c r="D180"/>
      <c r="E180" t="s">
        <v>64</v>
      </c>
      <c r="F180" s="104">
        <v>1.04</v>
      </c>
    </row>
    <row r="181" spans="3:6" s="2" customFormat="1" ht="15" hidden="1" x14ac:dyDescent="0.2">
      <c r="C181"/>
      <c r="D181"/>
      <c r="E181" t="s">
        <v>65</v>
      </c>
      <c r="F181" s="104">
        <v>1.06</v>
      </c>
    </row>
    <row r="182" spans="3:6" s="2" customFormat="1" ht="15" hidden="1" x14ac:dyDescent="0.2">
      <c r="C182"/>
      <c r="D182"/>
      <c r="E182" t="s">
        <v>66</v>
      </c>
      <c r="F182" s="104">
        <v>1.07</v>
      </c>
    </row>
    <row r="183" spans="3:6" s="2" customFormat="1" ht="15" hidden="1" x14ac:dyDescent="0.2">
      <c r="C183"/>
      <c r="D183"/>
      <c r="E183" t="s">
        <v>67</v>
      </c>
      <c r="F183" s="104">
        <v>1.06</v>
      </c>
    </row>
    <row r="184" spans="3:6" s="2" customFormat="1" ht="15" hidden="1" x14ac:dyDescent="0.2">
      <c r="C184"/>
      <c r="D184"/>
      <c r="E184" t="s">
        <v>68</v>
      </c>
      <c r="F184" s="104">
        <v>1.06</v>
      </c>
    </row>
    <row r="185" spans="3:6" s="2" customFormat="1" ht="15" hidden="1" x14ac:dyDescent="0.2">
      <c r="C185"/>
      <c r="D185"/>
      <c r="E185" t="s">
        <v>69</v>
      </c>
      <c r="F185" s="104">
        <v>1.06</v>
      </c>
    </row>
    <row r="186" spans="3:6" s="2" customFormat="1" ht="15" hidden="1" x14ac:dyDescent="0.2">
      <c r="C186"/>
      <c r="D186"/>
      <c r="E186" t="s">
        <v>70</v>
      </c>
      <c r="F186" s="104">
        <v>1.06</v>
      </c>
    </row>
    <row r="187" spans="3:6" s="2" customFormat="1" ht="15.75" hidden="1" thickBot="1" x14ac:dyDescent="0.25">
      <c r="C187" s="35"/>
      <c r="D187" s="35"/>
      <c r="E187" s="35"/>
      <c r="F187" s="105"/>
    </row>
    <row r="188" spans="3:6" s="2" customFormat="1" ht="18.75" hidden="1" x14ac:dyDescent="0.3">
      <c r="C188" s="34" t="s">
        <v>37</v>
      </c>
      <c r="D188"/>
      <c r="E188" s="34" t="s">
        <v>38</v>
      </c>
      <c r="F188" s="34" t="s">
        <v>39</v>
      </c>
    </row>
    <row r="189" spans="3:6" s="2" customFormat="1" ht="15" hidden="1" x14ac:dyDescent="0.2">
      <c r="C189"/>
      <c r="D189"/>
      <c r="E189" t="s">
        <v>71</v>
      </c>
      <c r="F189" s="104">
        <v>1.23</v>
      </c>
    </row>
    <row r="190" spans="3:6" s="2" customFormat="1" ht="15" hidden="1" x14ac:dyDescent="0.2">
      <c r="C190"/>
      <c r="D190"/>
      <c r="E190" t="s">
        <v>72</v>
      </c>
      <c r="F190" s="104">
        <v>1.23</v>
      </c>
    </row>
    <row r="191" spans="3:6" s="2" customFormat="1" ht="15" hidden="1" x14ac:dyDescent="0.2">
      <c r="C191"/>
      <c r="D191"/>
      <c r="E191" t="s">
        <v>9</v>
      </c>
      <c r="F191" s="104">
        <v>1.22</v>
      </c>
    </row>
    <row r="192" spans="3:6" s="2" customFormat="1" ht="15" hidden="1" x14ac:dyDescent="0.2">
      <c r="C192"/>
      <c r="D192"/>
      <c r="E192" t="s">
        <v>73</v>
      </c>
      <c r="F192" s="104">
        <v>1.23</v>
      </c>
    </row>
    <row r="193" spans="3:6" s="2" customFormat="1" ht="15" hidden="1" x14ac:dyDescent="0.2">
      <c r="C193"/>
      <c r="D193"/>
      <c r="E193" t="s">
        <v>74</v>
      </c>
      <c r="F193" s="104">
        <v>1.21</v>
      </c>
    </row>
    <row r="194" spans="3:6" s="2" customFormat="1" ht="15" hidden="1" x14ac:dyDescent="0.2">
      <c r="C194"/>
      <c r="D194"/>
      <c r="E194" t="s">
        <v>75</v>
      </c>
      <c r="F194" s="104">
        <v>1.24</v>
      </c>
    </row>
    <row r="195" spans="3:6" s="2" customFormat="1" ht="15" hidden="1" x14ac:dyDescent="0.2">
      <c r="C195" t="s">
        <v>9</v>
      </c>
      <c r="D195"/>
      <c r="E195" t="s">
        <v>76</v>
      </c>
      <c r="F195" s="104">
        <v>1.22</v>
      </c>
    </row>
    <row r="196" spans="3:6" s="2" customFormat="1" ht="15" hidden="1" x14ac:dyDescent="0.2">
      <c r="C196"/>
      <c r="D196"/>
      <c r="E196" t="s">
        <v>77</v>
      </c>
      <c r="F196" s="104">
        <v>1.22</v>
      </c>
    </row>
    <row r="197" spans="3:6" s="2" customFormat="1" ht="15" hidden="1" x14ac:dyDescent="0.2">
      <c r="C197"/>
      <c r="D197"/>
      <c r="E197" t="s">
        <v>78</v>
      </c>
      <c r="F197" s="104">
        <v>1.23</v>
      </c>
    </row>
    <row r="198" spans="3:6" s="2" customFormat="1" ht="15" hidden="1" x14ac:dyDescent="0.2">
      <c r="C198"/>
      <c r="D198"/>
      <c r="E198" t="s">
        <v>79</v>
      </c>
      <c r="F198" s="104">
        <v>1.25</v>
      </c>
    </row>
    <row r="199" spans="3:6" s="2" customFormat="1" ht="15" hidden="1" x14ac:dyDescent="0.2">
      <c r="C199"/>
      <c r="D199"/>
      <c r="E199" t="s">
        <v>80</v>
      </c>
      <c r="F199" s="104">
        <v>1.23</v>
      </c>
    </row>
    <row r="200" spans="3:6" s="2" customFormat="1" ht="15" hidden="1" x14ac:dyDescent="0.2">
      <c r="C200"/>
      <c r="D200"/>
      <c r="E200" t="s">
        <v>81</v>
      </c>
      <c r="F200" s="104">
        <v>1.21</v>
      </c>
    </row>
    <row r="201" spans="3:6" s="2" customFormat="1" ht="15" hidden="1" x14ac:dyDescent="0.2">
      <c r="C201"/>
      <c r="D201"/>
      <c r="E201" t="s">
        <v>82</v>
      </c>
      <c r="F201" s="104">
        <v>1.23</v>
      </c>
    </row>
    <row r="202" spans="3:6" s="2" customFormat="1" ht="15" hidden="1" x14ac:dyDescent="0.2">
      <c r="C202"/>
      <c r="D202"/>
      <c r="E202" t="s">
        <v>83</v>
      </c>
      <c r="F202" s="104">
        <v>1.22</v>
      </c>
    </row>
    <row r="203" spans="3:6" s="2" customFormat="1" ht="15.75" hidden="1" thickBot="1" x14ac:dyDescent="0.25">
      <c r="C203" s="35"/>
      <c r="D203" s="35"/>
      <c r="E203" s="35"/>
      <c r="F203" s="105"/>
    </row>
    <row r="204" spans="3:6" s="2" customFormat="1" ht="18.75" hidden="1" x14ac:dyDescent="0.3">
      <c r="C204" s="34" t="s">
        <v>37</v>
      </c>
      <c r="D204"/>
      <c r="E204" s="34" t="s">
        <v>38</v>
      </c>
      <c r="F204" s="34" t="s">
        <v>39</v>
      </c>
    </row>
    <row r="205" spans="3:6" s="2" customFormat="1" ht="15" hidden="1" x14ac:dyDescent="0.2">
      <c r="C205"/>
      <c r="D205"/>
      <c r="E205" t="s">
        <v>84</v>
      </c>
      <c r="F205" s="104">
        <v>1.17</v>
      </c>
    </row>
    <row r="206" spans="3:6" s="2" customFormat="1" ht="15" hidden="1" x14ac:dyDescent="0.2">
      <c r="C206"/>
      <c r="D206"/>
      <c r="E206" t="s">
        <v>10</v>
      </c>
      <c r="F206" s="104">
        <v>1.19</v>
      </c>
    </row>
    <row r="207" spans="3:6" s="2" customFormat="1" ht="15" hidden="1" x14ac:dyDescent="0.2">
      <c r="C207"/>
      <c r="D207"/>
      <c r="E207" t="s">
        <v>85</v>
      </c>
      <c r="F207" s="104">
        <v>1.1599999999999999</v>
      </c>
    </row>
    <row r="208" spans="3:6" s="2" customFormat="1" ht="15" hidden="1" x14ac:dyDescent="0.2">
      <c r="C208"/>
      <c r="D208"/>
      <c r="E208" t="s">
        <v>86</v>
      </c>
      <c r="F208" s="104">
        <v>1.17</v>
      </c>
    </row>
    <row r="209" spans="3:6" s="2" customFormat="1" ht="15" hidden="1" x14ac:dyDescent="0.2">
      <c r="C209"/>
      <c r="D209"/>
      <c r="E209" t="s">
        <v>87</v>
      </c>
      <c r="F209" s="104">
        <v>1.18</v>
      </c>
    </row>
    <row r="210" spans="3:6" s="2" customFormat="1" ht="15" hidden="1" x14ac:dyDescent="0.2">
      <c r="C210" t="s">
        <v>10</v>
      </c>
      <c r="D210"/>
      <c r="E210" t="s">
        <v>88</v>
      </c>
      <c r="F210" s="104">
        <v>1.19</v>
      </c>
    </row>
    <row r="211" spans="3:6" s="2" customFormat="1" ht="15" hidden="1" x14ac:dyDescent="0.2">
      <c r="C211"/>
      <c r="D211"/>
      <c r="E211" t="s">
        <v>89</v>
      </c>
      <c r="F211" s="104">
        <v>1.17</v>
      </c>
    </row>
    <row r="212" spans="3:6" s="2" customFormat="1" ht="15" hidden="1" x14ac:dyDescent="0.2">
      <c r="C212"/>
      <c r="D212"/>
      <c r="E212" t="s">
        <v>90</v>
      </c>
      <c r="F212" s="104">
        <v>1.17</v>
      </c>
    </row>
    <row r="213" spans="3:6" s="2" customFormat="1" ht="15" hidden="1" x14ac:dyDescent="0.2">
      <c r="C213"/>
      <c r="D213"/>
      <c r="E213" t="s">
        <v>91</v>
      </c>
      <c r="F213" s="104">
        <v>1.1599999999999999</v>
      </c>
    </row>
    <row r="214" spans="3:6" s="2" customFormat="1" ht="15" hidden="1" x14ac:dyDescent="0.2">
      <c r="C214"/>
      <c r="D214"/>
      <c r="E214" t="s">
        <v>92</v>
      </c>
      <c r="F214" s="104">
        <v>1.17</v>
      </c>
    </row>
    <row r="215" spans="3:6" s="2" customFormat="1" ht="15" hidden="1" x14ac:dyDescent="0.2">
      <c r="C215"/>
      <c r="D215"/>
      <c r="E215" t="s">
        <v>93</v>
      </c>
      <c r="F215" s="104">
        <v>1.19</v>
      </c>
    </row>
    <row r="216" spans="3:6" s="2" customFormat="1" ht="15" hidden="1" x14ac:dyDescent="0.2">
      <c r="C216"/>
      <c r="D216"/>
      <c r="E216" t="s">
        <v>94</v>
      </c>
      <c r="F216" s="104">
        <v>1.19</v>
      </c>
    </row>
    <row r="217" spans="3:6" s="2" customFormat="1" ht="15.75" hidden="1" thickBot="1" x14ac:dyDescent="0.25">
      <c r="C217" s="35"/>
      <c r="D217" s="35"/>
      <c r="E217" s="35"/>
      <c r="F217" s="105"/>
    </row>
    <row r="218" spans="3:6" s="2" customFormat="1" ht="18.75" hidden="1" x14ac:dyDescent="0.3">
      <c r="C218" s="34" t="s">
        <v>37</v>
      </c>
      <c r="D218"/>
      <c r="E218" s="34" t="s">
        <v>38</v>
      </c>
      <c r="F218" s="34" t="s">
        <v>39</v>
      </c>
    </row>
    <row r="219" spans="3:6" s="2" customFormat="1" ht="15" hidden="1" x14ac:dyDescent="0.2">
      <c r="C219"/>
      <c r="D219"/>
      <c r="E219" t="s">
        <v>95</v>
      </c>
      <c r="F219" s="106">
        <v>1.1100000000000001</v>
      </c>
    </row>
    <row r="220" spans="3:6" s="2" customFormat="1" ht="15" hidden="1" x14ac:dyDescent="0.2">
      <c r="C220"/>
      <c r="D220"/>
      <c r="E220" t="s">
        <v>11</v>
      </c>
      <c r="F220" s="106">
        <v>1.0900000000000001</v>
      </c>
    </row>
    <row r="221" spans="3:6" s="2" customFormat="1" ht="15" hidden="1" x14ac:dyDescent="0.2">
      <c r="C221"/>
      <c r="D221"/>
      <c r="E221" t="s">
        <v>96</v>
      </c>
      <c r="F221" s="106">
        <v>1.1100000000000001</v>
      </c>
    </row>
    <row r="222" spans="3:6" s="2" customFormat="1" ht="15" hidden="1" x14ac:dyDescent="0.2">
      <c r="C222" t="s">
        <v>11</v>
      </c>
      <c r="D222"/>
      <c r="E222" t="s">
        <v>97</v>
      </c>
      <c r="F222" s="106">
        <v>1.1000000000000001</v>
      </c>
    </row>
    <row r="223" spans="3:6" s="2" customFormat="1" ht="15" hidden="1" x14ac:dyDescent="0.2">
      <c r="C223"/>
      <c r="D223"/>
      <c r="E223" t="s">
        <v>98</v>
      </c>
      <c r="F223" s="106">
        <v>1.1000000000000001</v>
      </c>
    </row>
    <row r="224" spans="3:6" s="2" customFormat="1" ht="15" hidden="1" x14ac:dyDescent="0.2">
      <c r="C224"/>
      <c r="D224"/>
      <c r="E224" t="s">
        <v>99</v>
      </c>
      <c r="F224" s="106">
        <v>1.0900000000000001</v>
      </c>
    </row>
    <row r="225" spans="3:6" s="2" customFormat="1" ht="15" hidden="1" x14ac:dyDescent="0.2">
      <c r="C225"/>
      <c r="D225"/>
      <c r="E225" t="s">
        <v>100</v>
      </c>
      <c r="F225" s="106">
        <v>1.1100000000000001</v>
      </c>
    </row>
    <row r="226" spans="3:6" s="2" customFormat="1" ht="15" hidden="1" x14ac:dyDescent="0.2">
      <c r="C226"/>
      <c r="D226"/>
      <c r="E226" t="s">
        <v>101</v>
      </c>
      <c r="F226" s="106">
        <v>1.08</v>
      </c>
    </row>
    <row r="227" spans="3:6" s="2" customFormat="1" ht="15" hidden="1" x14ac:dyDescent="0.2">
      <c r="C227"/>
      <c r="D227"/>
      <c r="E227" t="s">
        <v>102</v>
      </c>
      <c r="F227" s="106">
        <v>1.08</v>
      </c>
    </row>
    <row r="228" spans="3:6" s="2" customFormat="1" ht="15" hidden="1" x14ac:dyDescent="0.2">
      <c r="C228"/>
      <c r="D228"/>
      <c r="E228" t="s">
        <v>103</v>
      </c>
      <c r="F228" s="106">
        <v>1.07</v>
      </c>
    </row>
    <row r="229" spans="3:6" s="2" customFormat="1" ht="15" hidden="1" x14ac:dyDescent="0.2">
      <c r="C229"/>
      <c r="D229"/>
      <c r="E229" t="s">
        <v>104</v>
      </c>
      <c r="F229" s="106">
        <v>1.08</v>
      </c>
    </row>
    <row r="230" spans="3:6" s="2" customFormat="1" ht="15.75" hidden="1" thickBot="1" x14ac:dyDescent="0.25">
      <c r="C230" s="35"/>
      <c r="D230" s="35"/>
      <c r="E230" s="35"/>
      <c r="F230" s="107"/>
    </row>
    <row r="231" spans="3:6" s="2" customFormat="1" ht="18.75" hidden="1" x14ac:dyDescent="0.3">
      <c r="C231" s="34" t="s">
        <v>37</v>
      </c>
      <c r="D231"/>
      <c r="E231" s="34" t="s">
        <v>38</v>
      </c>
      <c r="F231" s="36" t="s">
        <v>39</v>
      </c>
    </row>
    <row r="232" spans="3:6" s="2" customFormat="1" ht="15" hidden="1" x14ac:dyDescent="0.2">
      <c r="C232"/>
      <c r="D232"/>
      <c r="E232" t="s">
        <v>105</v>
      </c>
      <c r="F232" s="106">
        <v>1.1000000000000001</v>
      </c>
    </row>
    <row r="233" spans="3:6" s="2" customFormat="1" ht="15" hidden="1" x14ac:dyDescent="0.2">
      <c r="C233"/>
      <c r="D233"/>
      <c r="E233" t="s">
        <v>106</v>
      </c>
      <c r="F233" s="106">
        <v>1.1200000000000001</v>
      </c>
    </row>
    <row r="234" spans="3:6" s="2" customFormat="1" ht="15" hidden="1" x14ac:dyDescent="0.2">
      <c r="C234"/>
      <c r="D234"/>
      <c r="E234" t="s">
        <v>12</v>
      </c>
      <c r="F234" s="106">
        <v>1.1399999999999999</v>
      </c>
    </row>
    <row r="235" spans="3:6" s="2" customFormat="1" ht="15" hidden="1" x14ac:dyDescent="0.2">
      <c r="C235"/>
      <c r="D235"/>
      <c r="E235" t="s">
        <v>107</v>
      </c>
      <c r="F235" s="106">
        <v>1.1200000000000001</v>
      </c>
    </row>
    <row r="236" spans="3:6" s="2" customFormat="1" ht="15" hidden="1" x14ac:dyDescent="0.2">
      <c r="C236"/>
      <c r="D236"/>
      <c r="E236" t="s">
        <v>108</v>
      </c>
      <c r="F236" s="106">
        <v>1.1100000000000001</v>
      </c>
    </row>
    <row r="237" spans="3:6" s="2" customFormat="1" ht="15" hidden="1" x14ac:dyDescent="0.2">
      <c r="C237"/>
      <c r="D237"/>
      <c r="E237" t="s">
        <v>109</v>
      </c>
      <c r="F237" s="106">
        <v>1.1000000000000001</v>
      </c>
    </row>
    <row r="238" spans="3:6" s="2" customFormat="1" ht="15" hidden="1" x14ac:dyDescent="0.2">
      <c r="C238" t="s">
        <v>12</v>
      </c>
      <c r="D238"/>
      <c r="E238" t="s">
        <v>110</v>
      </c>
      <c r="F238" s="106">
        <v>1.1000000000000001</v>
      </c>
    </row>
    <row r="239" spans="3:6" s="2" customFormat="1" ht="15" hidden="1" x14ac:dyDescent="0.2">
      <c r="C239"/>
      <c r="D239"/>
      <c r="E239" t="s">
        <v>111</v>
      </c>
      <c r="F239" s="106">
        <v>1.1299999999999999</v>
      </c>
    </row>
    <row r="240" spans="3:6" s="2" customFormat="1" ht="15" hidden="1" x14ac:dyDescent="0.2">
      <c r="C240"/>
      <c r="D240"/>
      <c r="E240" t="s">
        <v>112</v>
      </c>
      <c r="F240" s="106">
        <v>1.1000000000000001</v>
      </c>
    </row>
    <row r="241" spans="3:6" s="2" customFormat="1" ht="15" hidden="1" x14ac:dyDescent="0.2">
      <c r="C241"/>
      <c r="D241"/>
      <c r="E241" t="s">
        <v>113</v>
      </c>
      <c r="F241" s="106">
        <v>1.1200000000000001</v>
      </c>
    </row>
    <row r="242" spans="3:6" s="2" customFormat="1" ht="15" hidden="1" x14ac:dyDescent="0.2">
      <c r="C242"/>
      <c r="D242"/>
      <c r="E242" t="s">
        <v>114</v>
      </c>
      <c r="F242" s="106">
        <v>1.1100000000000001</v>
      </c>
    </row>
    <row r="243" spans="3:6" s="2" customFormat="1" ht="15" hidden="1" x14ac:dyDescent="0.2">
      <c r="C243"/>
      <c r="D243"/>
      <c r="E243" t="s">
        <v>115</v>
      </c>
      <c r="F243" s="106">
        <v>1.1000000000000001</v>
      </c>
    </row>
    <row r="244" spans="3:6" s="2" customFormat="1" ht="15" hidden="1" x14ac:dyDescent="0.2">
      <c r="C244"/>
      <c r="D244"/>
      <c r="E244" t="s">
        <v>116</v>
      </c>
      <c r="F244" s="106">
        <v>1.1499999999999999</v>
      </c>
    </row>
    <row r="245" spans="3:6" s="2" customFormat="1" ht="15" hidden="1" x14ac:dyDescent="0.2">
      <c r="C245"/>
      <c r="D245"/>
      <c r="E245" t="s">
        <v>117</v>
      </c>
      <c r="F245" s="106">
        <v>1.0900000000000001</v>
      </c>
    </row>
    <row r="246" spans="3:6" s="2" customFormat="1" ht="15" hidden="1" x14ac:dyDescent="0.2">
      <c r="C246"/>
      <c r="D246"/>
      <c r="E246" t="s">
        <v>118</v>
      </c>
      <c r="F246" s="106">
        <v>1.1100000000000001</v>
      </c>
    </row>
    <row r="247" spans="3:6" s="2" customFormat="1" ht="15" hidden="1" x14ac:dyDescent="0.2">
      <c r="C247"/>
      <c r="D247"/>
      <c r="E247" t="s">
        <v>119</v>
      </c>
      <c r="F247" s="106">
        <v>1.1100000000000001</v>
      </c>
    </row>
    <row r="248" spans="3:6" s="2" customFormat="1" ht="15" hidden="1" x14ac:dyDescent="0.2">
      <c r="C248"/>
      <c r="D248"/>
      <c r="E248" t="s">
        <v>120</v>
      </c>
      <c r="F248" s="106">
        <v>1.1100000000000001</v>
      </c>
    </row>
    <row r="249" spans="3:6" s="2" customFormat="1" ht="15.75" hidden="1" thickBot="1" x14ac:dyDescent="0.25">
      <c r="C249" s="35"/>
      <c r="D249" s="35"/>
      <c r="E249" s="35"/>
      <c r="F249" s="108"/>
    </row>
    <row r="250" spans="3:6" s="2" customFormat="1" ht="18.75" hidden="1" x14ac:dyDescent="0.3">
      <c r="C250" s="34" t="s">
        <v>37</v>
      </c>
      <c r="D250"/>
      <c r="E250" s="34" t="s">
        <v>38</v>
      </c>
      <c r="F250" s="34" t="s">
        <v>39</v>
      </c>
    </row>
    <row r="251" spans="3:6" s="2" customFormat="1" ht="15" hidden="1" x14ac:dyDescent="0.2">
      <c r="C251"/>
      <c r="D251"/>
      <c r="E251" t="s">
        <v>121</v>
      </c>
      <c r="F251" s="104">
        <v>1.07</v>
      </c>
    </row>
    <row r="252" spans="3:6" s="2" customFormat="1" ht="15" hidden="1" x14ac:dyDescent="0.2">
      <c r="C252"/>
      <c r="D252"/>
      <c r="E252" t="s">
        <v>122</v>
      </c>
      <c r="F252" s="104">
        <v>1.05</v>
      </c>
    </row>
    <row r="253" spans="3:6" s="2" customFormat="1" ht="15" hidden="1" x14ac:dyDescent="0.2">
      <c r="C253"/>
      <c r="D253"/>
      <c r="E253" t="s">
        <v>123</v>
      </c>
      <c r="F253" s="104">
        <v>1.07</v>
      </c>
    </row>
    <row r="254" spans="3:6" s="2" customFormat="1" ht="15" hidden="1" x14ac:dyDescent="0.2">
      <c r="C254"/>
      <c r="D254"/>
      <c r="E254" t="s">
        <v>124</v>
      </c>
      <c r="F254" s="104">
        <v>1.06</v>
      </c>
    </row>
    <row r="255" spans="3:6" s="2" customFormat="1" ht="15" hidden="1" x14ac:dyDescent="0.2">
      <c r="C255"/>
      <c r="D255"/>
      <c r="E255" t="s">
        <v>13</v>
      </c>
      <c r="F255" s="104">
        <v>1.05</v>
      </c>
    </row>
    <row r="256" spans="3:6" s="2" customFormat="1" ht="15" hidden="1" x14ac:dyDescent="0.2">
      <c r="C256"/>
      <c r="D256"/>
      <c r="E256" t="s">
        <v>125</v>
      </c>
      <c r="F256" s="104">
        <v>1.04</v>
      </c>
    </row>
    <row r="257" spans="3:6" s="2" customFormat="1" ht="15" hidden="1" x14ac:dyDescent="0.2">
      <c r="C257" t="s">
        <v>13</v>
      </c>
      <c r="D257"/>
      <c r="E257" t="s">
        <v>126</v>
      </c>
      <c r="F257" s="104">
        <v>1.05</v>
      </c>
    </row>
    <row r="258" spans="3:6" s="2" customFormat="1" ht="15" hidden="1" x14ac:dyDescent="0.2">
      <c r="C258"/>
      <c r="D258"/>
      <c r="E258" t="s">
        <v>127</v>
      </c>
      <c r="F258" s="104">
        <v>1.07</v>
      </c>
    </row>
    <row r="259" spans="3:6" s="2" customFormat="1" ht="15" hidden="1" x14ac:dyDescent="0.2">
      <c r="C259"/>
      <c r="D259"/>
      <c r="E259" t="s">
        <v>128</v>
      </c>
      <c r="F259" s="104">
        <v>1.05</v>
      </c>
    </row>
    <row r="260" spans="3:6" s="2" customFormat="1" ht="15" hidden="1" x14ac:dyDescent="0.2">
      <c r="C260"/>
      <c r="D260"/>
      <c r="E260" t="s">
        <v>129</v>
      </c>
      <c r="F260" s="104">
        <v>1.06</v>
      </c>
    </row>
    <row r="261" spans="3:6" s="2" customFormat="1" ht="15" hidden="1" x14ac:dyDescent="0.2">
      <c r="C261"/>
      <c r="D261"/>
      <c r="E261" t="s">
        <v>130</v>
      </c>
      <c r="F261" s="104">
        <v>1.06</v>
      </c>
    </row>
    <row r="262" spans="3:6" s="2" customFormat="1" ht="15" hidden="1" x14ac:dyDescent="0.2">
      <c r="C262"/>
      <c r="D262"/>
      <c r="E262" t="s">
        <v>131</v>
      </c>
      <c r="F262" s="104">
        <v>1.03</v>
      </c>
    </row>
    <row r="263" spans="3:6" s="2" customFormat="1" ht="15" hidden="1" x14ac:dyDescent="0.2">
      <c r="C263"/>
      <c r="D263"/>
      <c r="E263" t="s">
        <v>132</v>
      </c>
      <c r="F263" s="104">
        <v>1.04</v>
      </c>
    </row>
    <row r="264" spans="3:6" s="2" customFormat="1" ht="15" hidden="1" x14ac:dyDescent="0.2">
      <c r="C264"/>
      <c r="D264"/>
      <c r="E264" t="s">
        <v>133</v>
      </c>
      <c r="F264" s="104">
        <v>1.07</v>
      </c>
    </row>
    <row r="265" spans="3:6" s="2" customFormat="1" ht="15.75" hidden="1" thickBot="1" x14ac:dyDescent="0.25">
      <c r="C265" s="35"/>
      <c r="D265" s="35"/>
      <c r="E265" s="35"/>
      <c r="F265" s="105"/>
    </row>
    <row r="266" spans="3:6" s="2" customFormat="1" ht="18.75" hidden="1" x14ac:dyDescent="0.3">
      <c r="C266" s="34" t="s">
        <v>37</v>
      </c>
      <c r="D266"/>
      <c r="E266" s="34" t="s">
        <v>38</v>
      </c>
      <c r="F266" s="34" t="s">
        <v>39</v>
      </c>
    </row>
    <row r="267" spans="3:6" s="2" customFormat="1" ht="15" hidden="1" x14ac:dyDescent="0.2">
      <c r="C267"/>
      <c r="D267"/>
      <c r="E267" t="s">
        <v>134</v>
      </c>
      <c r="F267" s="104">
        <v>1.1499999999999999</v>
      </c>
    </row>
    <row r="268" spans="3:6" s="2" customFormat="1" ht="15" hidden="1" x14ac:dyDescent="0.2">
      <c r="C268"/>
      <c r="D268"/>
      <c r="E268" t="s">
        <v>135</v>
      </c>
      <c r="F268" s="104">
        <v>1.1200000000000001</v>
      </c>
    </row>
    <row r="269" spans="3:6" s="2" customFormat="1" ht="15" hidden="1" x14ac:dyDescent="0.2">
      <c r="C269"/>
      <c r="D269"/>
      <c r="E269" t="s">
        <v>136</v>
      </c>
      <c r="F269" s="104">
        <v>1.1299999999999999</v>
      </c>
    </row>
    <row r="270" spans="3:6" s="2" customFormat="1" ht="15" hidden="1" x14ac:dyDescent="0.2">
      <c r="C270"/>
      <c r="D270"/>
      <c r="E270" t="s">
        <v>137</v>
      </c>
      <c r="F270" s="104">
        <v>1.1399999999999999</v>
      </c>
    </row>
    <row r="271" spans="3:6" s="2" customFormat="1" ht="15" hidden="1" x14ac:dyDescent="0.2">
      <c r="C271"/>
      <c r="D271"/>
      <c r="E271" t="s">
        <v>138</v>
      </c>
      <c r="F271" s="104">
        <v>1.1399999999999999</v>
      </c>
    </row>
    <row r="272" spans="3:6" s="2" customFormat="1" ht="15" hidden="1" x14ac:dyDescent="0.2">
      <c r="C272"/>
      <c r="D272"/>
      <c r="E272" t="s">
        <v>139</v>
      </c>
      <c r="F272" s="104">
        <v>1.1299999999999999</v>
      </c>
    </row>
    <row r="273" spans="3:6" s="2" customFormat="1" ht="15" hidden="1" x14ac:dyDescent="0.2">
      <c r="C273" t="s">
        <v>14</v>
      </c>
      <c r="D273"/>
      <c r="E273" t="s">
        <v>14</v>
      </c>
      <c r="F273" s="104">
        <v>1.1200000000000001</v>
      </c>
    </row>
    <row r="274" spans="3:6" s="2" customFormat="1" ht="15" hidden="1" x14ac:dyDescent="0.2">
      <c r="C274"/>
      <c r="D274"/>
      <c r="E274" t="s">
        <v>140</v>
      </c>
      <c r="F274" s="104">
        <v>1.1200000000000001</v>
      </c>
    </row>
    <row r="275" spans="3:6" s="2" customFormat="1" ht="15" hidden="1" x14ac:dyDescent="0.2">
      <c r="C275"/>
      <c r="D275"/>
      <c r="E275" t="s">
        <v>141</v>
      </c>
      <c r="F275" s="104">
        <v>1.1399999999999999</v>
      </c>
    </row>
    <row r="276" spans="3:6" s="2" customFormat="1" ht="15" hidden="1" x14ac:dyDescent="0.2">
      <c r="C276"/>
      <c r="D276"/>
      <c r="E276" t="s">
        <v>142</v>
      </c>
      <c r="F276" s="104">
        <v>1.1299999999999999</v>
      </c>
    </row>
    <row r="277" spans="3:6" s="2" customFormat="1" ht="15" hidden="1" x14ac:dyDescent="0.2">
      <c r="C277"/>
      <c r="D277"/>
      <c r="E277" t="s">
        <v>143</v>
      </c>
      <c r="F277" s="104">
        <v>1.1100000000000001</v>
      </c>
    </row>
    <row r="278" spans="3:6" s="2" customFormat="1" ht="15" hidden="1" x14ac:dyDescent="0.2">
      <c r="C278"/>
      <c r="D278"/>
      <c r="E278" t="s">
        <v>144</v>
      </c>
      <c r="F278" s="104">
        <v>1.1200000000000001</v>
      </c>
    </row>
    <row r="279" spans="3:6" s="2" customFormat="1" ht="15" hidden="1" x14ac:dyDescent="0.2">
      <c r="C279"/>
      <c r="D279"/>
      <c r="E279" t="s">
        <v>145</v>
      </c>
      <c r="F279" s="104">
        <v>1.1399999999999999</v>
      </c>
    </row>
    <row r="280" spans="3:6" s="2" customFormat="1" ht="15" hidden="1" x14ac:dyDescent="0.2">
      <c r="C280"/>
      <c r="D280"/>
      <c r="E280" t="s">
        <v>146</v>
      </c>
      <c r="F280" s="104">
        <v>1.1499999999999999</v>
      </c>
    </row>
    <row r="281" spans="3:6" s="2" customFormat="1" ht="15.75" hidden="1" thickBot="1" x14ac:dyDescent="0.25">
      <c r="C281" s="35"/>
      <c r="D281" s="35"/>
      <c r="E281" s="35"/>
      <c r="F281" s="108"/>
    </row>
    <row r="282" spans="3:6" s="2" customFormat="1" ht="18.75" hidden="1" x14ac:dyDescent="0.3">
      <c r="C282" s="34" t="s">
        <v>37</v>
      </c>
      <c r="D282"/>
      <c r="E282" s="34" t="s">
        <v>38</v>
      </c>
      <c r="F282" s="34" t="s">
        <v>39</v>
      </c>
    </row>
    <row r="283" spans="3:6" s="2" customFormat="1" ht="15" hidden="1" x14ac:dyDescent="0.2">
      <c r="C283"/>
      <c r="D283"/>
      <c r="E283" t="s">
        <v>147</v>
      </c>
      <c r="F283" s="106">
        <v>1.08</v>
      </c>
    </row>
    <row r="284" spans="3:6" s="2" customFormat="1" ht="15" hidden="1" x14ac:dyDescent="0.2">
      <c r="C284"/>
      <c r="D284"/>
      <c r="E284" t="s">
        <v>148</v>
      </c>
      <c r="F284" s="106">
        <v>1.07</v>
      </c>
    </row>
    <row r="285" spans="3:6" s="2" customFormat="1" ht="15" hidden="1" x14ac:dyDescent="0.2">
      <c r="C285"/>
      <c r="D285"/>
      <c r="E285" t="s">
        <v>149</v>
      </c>
      <c r="F285" s="106">
        <v>1.07</v>
      </c>
    </row>
    <row r="286" spans="3:6" s="2" customFormat="1" ht="15" hidden="1" x14ac:dyDescent="0.2">
      <c r="C286"/>
      <c r="D286"/>
      <c r="E286" t="s">
        <v>150</v>
      </c>
      <c r="F286" s="106">
        <v>1.08</v>
      </c>
    </row>
    <row r="287" spans="3:6" s="2" customFormat="1" ht="15" hidden="1" x14ac:dyDescent="0.2">
      <c r="C287"/>
      <c r="D287"/>
      <c r="E287" t="s">
        <v>15</v>
      </c>
      <c r="F287" s="106">
        <v>1.0900000000000001</v>
      </c>
    </row>
    <row r="288" spans="3:6" s="2" customFormat="1" ht="15" hidden="1" x14ac:dyDescent="0.2">
      <c r="C288"/>
      <c r="D288"/>
      <c r="E288" t="s">
        <v>151</v>
      </c>
      <c r="F288" s="106">
        <v>1.08</v>
      </c>
    </row>
    <row r="289" spans="3:6" s="2" customFormat="1" ht="15" hidden="1" x14ac:dyDescent="0.2">
      <c r="C289" t="s">
        <v>15</v>
      </c>
      <c r="D289"/>
      <c r="E289" t="s">
        <v>152</v>
      </c>
      <c r="F289" s="106">
        <v>1.08</v>
      </c>
    </row>
    <row r="290" spans="3:6" s="2" customFormat="1" ht="15" hidden="1" x14ac:dyDescent="0.2">
      <c r="C290"/>
      <c r="D290"/>
      <c r="E290" t="s">
        <v>153</v>
      </c>
      <c r="F290" s="106">
        <v>1.07</v>
      </c>
    </row>
    <row r="291" spans="3:6" s="2" customFormat="1" ht="15" hidden="1" x14ac:dyDescent="0.2">
      <c r="C291"/>
      <c r="D291"/>
      <c r="E291" t="s">
        <v>154</v>
      </c>
      <c r="F291" s="106">
        <v>1.1000000000000001</v>
      </c>
    </row>
    <row r="292" spans="3:6" s="2" customFormat="1" ht="15" hidden="1" x14ac:dyDescent="0.2">
      <c r="C292"/>
      <c r="D292"/>
      <c r="E292" t="s">
        <v>155</v>
      </c>
      <c r="F292" s="106">
        <v>1.08</v>
      </c>
    </row>
    <row r="293" spans="3:6" s="2" customFormat="1" ht="15" hidden="1" x14ac:dyDescent="0.2">
      <c r="C293"/>
      <c r="D293"/>
      <c r="E293" t="s">
        <v>156</v>
      </c>
      <c r="F293" s="106">
        <v>1.0900000000000001</v>
      </c>
    </row>
    <row r="294" spans="3:6" s="2" customFormat="1" ht="15" hidden="1" x14ac:dyDescent="0.2">
      <c r="C294"/>
      <c r="D294"/>
      <c r="E294" t="s">
        <v>157</v>
      </c>
      <c r="F294" s="106">
        <v>1.07</v>
      </c>
    </row>
    <row r="295" spans="3:6" s="2" customFormat="1" ht="15" hidden="1" x14ac:dyDescent="0.2">
      <c r="C295"/>
      <c r="D295"/>
      <c r="E295" t="s">
        <v>158</v>
      </c>
      <c r="F295" s="106">
        <v>1.08</v>
      </c>
    </row>
    <row r="296" spans="3:6" s="2" customFormat="1" ht="15" hidden="1" x14ac:dyDescent="0.2">
      <c r="C296"/>
      <c r="D296"/>
      <c r="E296" t="s">
        <v>159</v>
      </c>
      <c r="F296" s="106">
        <v>1.08</v>
      </c>
    </row>
    <row r="297" spans="3:6" s="2" customFormat="1" ht="15" hidden="1" x14ac:dyDescent="0.2">
      <c r="C297"/>
      <c r="D297"/>
      <c r="E297" t="s">
        <v>160</v>
      </c>
      <c r="F297" s="106">
        <v>1.0900000000000001</v>
      </c>
    </row>
    <row r="298" spans="3:6" s="2" customFormat="1" ht="15.75" hidden="1" thickBot="1" x14ac:dyDescent="0.25">
      <c r="C298" s="35"/>
      <c r="D298" s="35"/>
      <c r="E298" s="35"/>
      <c r="F298" s="109"/>
    </row>
    <row r="299" spans="3:6" s="2" customFormat="1" ht="18.75" hidden="1" x14ac:dyDescent="0.3">
      <c r="C299" s="34" t="s">
        <v>37</v>
      </c>
      <c r="D299"/>
      <c r="E299" s="34" t="s">
        <v>38</v>
      </c>
      <c r="F299" s="36" t="s">
        <v>39</v>
      </c>
    </row>
    <row r="300" spans="3:6" s="2" customFormat="1" ht="15" hidden="1" x14ac:dyDescent="0.2">
      <c r="C300" t="s">
        <v>16</v>
      </c>
      <c r="D300"/>
      <c r="E300" t="s">
        <v>161</v>
      </c>
      <c r="F300" s="106">
        <v>1.34</v>
      </c>
    </row>
    <row r="301" spans="3:6" s="2" customFormat="1" ht="15.75" hidden="1" thickBot="1" x14ac:dyDescent="0.25">
      <c r="C301" s="35"/>
      <c r="D301" s="35"/>
      <c r="E301" s="35"/>
      <c r="F301" s="109"/>
    </row>
    <row r="302" spans="3:6" s="2" customFormat="1" ht="18.75" hidden="1" x14ac:dyDescent="0.3">
      <c r="C302" s="34" t="s">
        <v>37</v>
      </c>
      <c r="D302"/>
      <c r="E302" s="34" t="s">
        <v>38</v>
      </c>
      <c r="F302" s="36" t="s">
        <v>39</v>
      </c>
    </row>
    <row r="303" spans="3:6" s="2" customFormat="1" ht="15" hidden="1" x14ac:dyDescent="0.2">
      <c r="C303"/>
      <c r="D303"/>
      <c r="E303" t="s">
        <v>162</v>
      </c>
      <c r="F303" s="106">
        <v>1.32</v>
      </c>
    </row>
    <row r="304" spans="3:6" s="2" customFormat="1" ht="15" hidden="1" x14ac:dyDescent="0.2">
      <c r="C304"/>
      <c r="D304"/>
      <c r="E304" t="s">
        <v>163</v>
      </c>
      <c r="F304" s="106">
        <v>1.29</v>
      </c>
    </row>
    <row r="305" spans="3:6" s="2" customFormat="1" ht="15" hidden="1" x14ac:dyDescent="0.2">
      <c r="C305"/>
      <c r="D305"/>
      <c r="E305" t="s">
        <v>164</v>
      </c>
      <c r="F305" s="106">
        <v>1.28</v>
      </c>
    </row>
    <row r="306" spans="3:6" s="2" customFormat="1" ht="15" hidden="1" x14ac:dyDescent="0.2">
      <c r="C306"/>
      <c r="D306"/>
      <c r="E306" t="s">
        <v>165</v>
      </c>
      <c r="F306" s="106">
        <v>1.3</v>
      </c>
    </row>
    <row r="307" spans="3:6" s="2" customFormat="1" ht="15" hidden="1" x14ac:dyDescent="0.2">
      <c r="C307" t="s">
        <v>17</v>
      </c>
      <c r="D307"/>
      <c r="E307" t="s">
        <v>166</v>
      </c>
      <c r="F307" s="106">
        <v>1.31</v>
      </c>
    </row>
    <row r="308" spans="3:6" s="2" customFormat="1" ht="15" hidden="1" x14ac:dyDescent="0.2">
      <c r="C308"/>
      <c r="D308"/>
      <c r="E308" t="s">
        <v>167</v>
      </c>
      <c r="F308" s="106">
        <v>1.33</v>
      </c>
    </row>
    <row r="309" spans="3:6" s="2" customFormat="1" ht="15" hidden="1" x14ac:dyDescent="0.2">
      <c r="C309"/>
      <c r="D309"/>
      <c r="E309" t="s">
        <v>168</v>
      </c>
      <c r="F309" s="106">
        <v>1.3</v>
      </c>
    </row>
    <row r="310" spans="3:6" s="2" customFormat="1" ht="15" hidden="1" x14ac:dyDescent="0.2">
      <c r="C310"/>
      <c r="D310"/>
      <c r="E310" t="s">
        <v>169</v>
      </c>
      <c r="F310" s="106">
        <v>1.29</v>
      </c>
    </row>
    <row r="311" spans="3:6" s="2" customFormat="1" ht="15" hidden="1" x14ac:dyDescent="0.2">
      <c r="C311"/>
      <c r="D311"/>
      <c r="E311" t="s">
        <v>170</v>
      </c>
      <c r="F311" s="106">
        <v>1.3</v>
      </c>
    </row>
    <row r="312" spans="3:6" s="2" customFormat="1" ht="15" hidden="1" x14ac:dyDescent="0.2">
      <c r="C312"/>
      <c r="D312"/>
      <c r="E312" t="s">
        <v>171</v>
      </c>
      <c r="F312" s="106">
        <v>1.31</v>
      </c>
    </row>
    <row r="313" spans="3:6" s="2" customFormat="1" ht="15.75" hidden="1" thickBot="1" x14ac:dyDescent="0.25">
      <c r="C313" s="35"/>
      <c r="D313" s="35"/>
      <c r="E313" s="35"/>
      <c r="F313" s="109"/>
    </row>
    <row r="314" spans="3:6" s="2" customFormat="1" ht="18.75" hidden="1" x14ac:dyDescent="0.3">
      <c r="C314" s="34" t="s">
        <v>37</v>
      </c>
      <c r="D314"/>
      <c r="E314" s="34" t="s">
        <v>38</v>
      </c>
      <c r="F314" s="36" t="s">
        <v>39</v>
      </c>
    </row>
    <row r="315" spans="3:6" s="2" customFormat="1" ht="15" hidden="1" x14ac:dyDescent="0.2">
      <c r="C315" t="s">
        <v>18</v>
      </c>
      <c r="D315"/>
      <c r="E315" t="s">
        <v>172</v>
      </c>
      <c r="F315" s="106">
        <v>1.36</v>
      </c>
    </row>
    <row r="316" spans="3:6" s="2" customFormat="1" ht="15" hidden="1" x14ac:dyDescent="0.2">
      <c r="C316"/>
      <c r="D316"/>
      <c r="E316" t="s">
        <v>173</v>
      </c>
      <c r="F316" s="106">
        <v>1.35</v>
      </c>
    </row>
    <row r="317" spans="3:6" s="2" customFormat="1" ht="15.75" hidden="1" thickBot="1" x14ac:dyDescent="0.25">
      <c r="C317" s="35"/>
      <c r="D317" s="35"/>
      <c r="E317" s="35"/>
      <c r="F317" s="109"/>
    </row>
    <row r="318" spans="3:6" s="2" customFormat="1" ht="18.75" hidden="1" x14ac:dyDescent="0.3">
      <c r="C318" s="34" t="s">
        <v>37</v>
      </c>
      <c r="D318"/>
      <c r="E318" s="34" t="s">
        <v>38</v>
      </c>
      <c r="F318" s="36" t="s">
        <v>39</v>
      </c>
    </row>
    <row r="319" spans="3:6" s="2" customFormat="1" ht="15" hidden="1" x14ac:dyDescent="0.2">
      <c r="C319" t="s">
        <v>19</v>
      </c>
      <c r="D319"/>
      <c r="E319" t="s">
        <v>174</v>
      </c>
      <c r="F319" s="106">
        <v>1.34</v>
      </c>
    </row>
    <row r="320" spans="3:6" s="2" customFormat="1" ht="15.75" hidden="1" thickBot="1" x14ac:dyDescent="0.25">
      <c r="C320" s="35"/>
      <c r="D320" s="35"/>
      <c r="E320" s="35"/>
      <c r="F320" s="109"/>
    </row>
    <row r="321" spans="3:6" s="2" customFormat="1" ht="18.75" hidden="1" x14ac:dyDescent="0.3">
      <c r="C321" s="34" t="s">
        <v>37</v>
      </c>
      <c r="D321"/>
      <c r="E321" s="34" t="s">
        <v>38</v>
      </c>
      <c r="F321" s="36" t="s">
        <v>39</v>
      </c>
    </row>
    <row r="322" spans="3:6" s="2" customFormat="1" ht="15" hidden="1" x14ac:dyDescent="0.2">
      <c r="C322" t="s">
        <v>175</v>
      </c>
      <c r="D322"/>
      <c r="E322" t="s">
        <v>176</v>
      </c>
      <c r="F322" s="106">
        <v>1.33</v>
      </c>
    </row>
    <row r="323" spans="3:6" s="2" customFormat="1" ht="15.75" hidden="1" thickBot="1" x14ac:dyDescent="0.25">
      <c r="C323" s="35"/>
      <c r="D323" s="35"/>
      <c r="E323" s="35"/>
      <c r="F323" s="109"/>
    </row>
    <row r="324" spans="3:6" s="2" customFormat="1" ht="18.75" hidden="1" x14ac:dyDescent="0.3">
      <c r="C324" s="34" t="s">
        <v>37</v>
      </c>
      <c r="D324"/>
      <c r="E324" s="34" t="s">
        <v>38</v>
      </c>
      <c r="F324" s="36" t="s">
        <v>39</v>
      </c>
    </row>
    <row r="325" spans="3:6" s="2" customFormat="1" ht="15" hidden="1" x14ac:dyDescent="0.2">
      <c r="C325" t="s">
        <v>22</v>
      </c>
      <c r="D325"/>
      <c r="E325" t="s">
        <v>162</v>
      </c>
      <c r="F325" s="106">
        <v>1.31</v>
      </c>
    </row>
    <row r="326" spans="3:6" s="2" customFormat="1" ht="15" hidden="1" x14ac:dyDescent="0.2">
      <c r="C326"/>
      <c r="D326"/>
      <c r="E326" t="s">
        <v>177</v>
      </c>
      <c r="F326" s="106">
        <v>1.31</v>
      </c>
    </row>
    <row r="327" spans="3:6" s="2" customFormat="1" ht="15.75" hidden="1" thickBot="1" x14ac:dyDescent="0.25">
      <c r="C327" s="35"/>
      <c r="D327" s="35"/>
      <c r="E327" s="35"/>
      <c r="F327" s="109"/>
    </row>
    <row r="328" spans="3:6" s="2" customFormat="1" ht="18.75" hidden="1" x14ac:dyDescent="0.3">
      <c r="C328" s="34" t="s">
        <v>37</v>
      </c>
      <c r="D328"/>
      <c r="E328" s="34" t="s">
        <v>38</v>
      </c>
      <c r="F328" s="36" t="s">
        <v>39</v>
      </c>
    </row>
    <row r="329" spans="3:6" s="2" customFormat="1" ht="15" hidden="1" x14ac:dyDescent="0.2">
      <c r="C329" t="s">
        <v>23</v>
      </c>
      <c r="D329"/>
      <c r="E329" t="s">
        <v>151</v>
      </c>
      <c r="F329" s="106">
        <v>1.29</v>
      </c>
    </row>
    <row r="330" spans="3:6" s="2" customFormat="1" ht="15" hidden="1" x14ac:dyDescent="0.2">
      <c r="C330"/>
      <c r="D330"/>
      <c r="E330" t="s">
        <v>178</v>
      </c>
      <c r="F330" s="106">
        <v>1.32</v>
      </c>
    </row>
    <row r="331" spans="3:6" s="2" customFormat="1" ht="15" hidden="1" x14ac:dyDescent="0.2">
      <c r="C331"/>
      <c r="D331"/>
      <c r="E331" t="s">
        <v>179</v>
      </c>
      <c r="F331" s="106">
        <v>1.28</v>
      </c>
    </row>
    <row r="332" spans="3:6" s="2" customFormat="1" ht="15" hidden="1" x14ac:dyDescent="0.2">
      <c r="C332"/>
      <c r="D332"/>
      <c r="E332" t="s">
        <v>180</v>
      </c>
      <c r="F332" s="106">
        <v>1.31</v>
      </c>
    </row>
    <row r="333" spans="3:6" s="2" customFormat="1" ht="15" hidden="1" x14ac:dyDescent="0.2">
      <c r="C333"/>
      <c r="D333"/>
      <c r="E333" t="s">
        <v>181</v>
      </c>
      <c r="F333" s="106">
        <v>1.29</v>
      </c>
    </row>
    <row r="334" spans="3:6" s="2" customFormat="1" ht="15" hidden="1" x14ac:dyDescent="0.2">
      <c r="C334"/>
      <c r="D334"/>
      <c r="E334" t="s">
        <v>182</v>
      </c>
      <c r="F334" s="106">
        <v>1.3</v>
      </c>
    </row>
    <row r="335" spans="3:6" s="2" customFormat="1" ht="15.75" hidden="1" thickBot="1" x14ac:dyDescent="0.25">
      <c r="C335" s="35"/>
      <c r="D335" s="35"/>
      <c r="E335" s="35"/>
      <c r="F335" s="109"/>
    </row>
    <row r="336" spans="3:6" s="2" customFormat="1" ht="18.75" hidden="1" x14ac:dyDescent="0.3">
      <c r="C336" s="34" t="s">
        <v>37</v>
      </c>
      <c r="D336"/>
      <c r="E336" s="34" t="s">
        <v>38</v>
      </c>
      <c r="F336" s="36" t="s">
        <v>39</v>
      </c>
    </row>
    <row r="337" spans="3:6" s="2" customFormat="1" ht="15" hidden="1" x14ac:dyDescent="0.2">
      <c r="C337" t="s">
        <v>24</v>
      </c>
      <c r="D337"/>
      <c r="E337" t="s">
        <v>183</v>
      </c>
      <c r="F337" s="106">
        <v>1.37</v>
      </c>
    </row>
    <row r="338" spans="3:6" s="2" customFormat="1" ht="15.75" hidden="1" thickBot="1" x14ac:dyDescent="0.25">
      <c r="C338" s="35"/>
      <c r="D338" s="35"/>
      <c r="E338" s="35"/>
      <c r="F338" s="109"/>
    </row>
    <row r="339" spans="3:6" s="2" customFormat="1" ht="18.75" hidden="1" x14ac:dyDescent="0.3">
      <c r="C339" s="34" t="s">
        <v>37</v>
      </c>
      <c r="D339"/>
      <c r="E339" s="34" t="s">
        <v>38</v>
      </c>
      <c r="F339" s="36" t="s">
        <v>39</v>
      </c>
    </row>
    <row r="340" spans="3:6" s="2" customFormat="1" ht="15" hidden="1" x14ac:dyDescent="0.2">
      <c r="C340" t="s">
        <v>25</v>
      </c>
      <c r="D340"/>
      <c r="E340" t="s">
        <v>184</v>
      </c>
      <c r="F340" s="106">
        <v>1.31</v>
      </c>
    </row>
    <row r="341" spans="3:6" s="2" customFormat="1" ht="15.75" hidden="1" thickBot="1" x14ac:dyDescent="0.25">
      <c r="C341" s="35"/>
      <c r="D341" s="35"/>
      <c r="E341" s="35"/>
      <c r="F341" s="109"/>
    </row>
    <row r="342" spans="3:6" s="2" customFormat="1" ht="18.75" hidden="1" x14ac:dyDescent="0.3">
      <c r="C342" s="34" t="s">
        <v>37</v>
      </c>
      <c r="D342"/>
      <c r="E342" s="34" t="s">
        <v>38</v>
      </c>
      <c r="F342" s="36" t="s">
        <v>39</v>
      </c>
    </row>
    <row r="343" spans="3:6" s="2" customFormat="1" ht="15" hidden="1" x14ac:dyDescent="0.2">
      <c r="C343" t="s">
        <v>26</v>
      </c>
      <c r="D343"/>
      <c r="E343" t="s">
        <v>185</v>
      </c>
      <c r="F343" s="106">
        <v>1.3</v>
      </c>
    </row>
    <row r="344" spans="3:6" s="2" customFormat="1" ht="15" hidden="1" x14ac:dyDescent="0.2">
      <c r="C344"/>
      <c r="D344"/>
      <c r="E344" t="s">
        <v>186</v>
      </c>
      <c r="F344" s="106">
        <v>1.28</v>
      </c>
    </row>
    <row r="345" spans="3:6" s="2" customFormat="1" ht="15" hidden="1" x14ac:dyDescent="0.2">
      <c r="C345"/>
      <c r="D345"/>
      <c r="E345" t="s">
        <v>187</v>
      </c>
      <c r="F345" s="106">
        <v>1.29</v>
      </c>
    </row>
    <row r="346" spans="3:6" s="2" customFormat="1" ht="15.75" hidden="1" thickBot="1" x14ac:dyDescent="0.25">
      <c r="C346" s="35"/>
      <c r="D346" s="35"/>
      <c r="E346" s="35"/>
      <c r="F346" s="109"/>
    </row>
    <row r="347" spans="3:6" s="2" customFormat="1" ht="18.75" hidden="1" x14ac:dyDescent="0.3">
      <c r="C347" s="34" t="s">
        <v>37</v>
      </c>
      <c r="D347"/>
      <c r="E347" s="34" t="s">
        <v>38</v>
      </c>
      <c r="F347" s="36" t="s">
        <v>39</v>
      </c>
    </row>
    <row r="348" spans="3:6" s="2" customFormat="1" ht="15" hidden="1" x14ac:dyDescent="0.2">
      <c r="C348" t="s">
        <v>27</v>
      </c>
      <c r="D348"/>
      <c r="E348" t="s">
        <v>188</v>
      </c>
      <c r="F348" s="104">
        <v>1.28</v>
      </c>
    </row>
    <row r="349" spans="3:6" s="2" customFormat="1" ht="15" hidden="1" x14ac:dyDescent="0.2">
      <c r="C349"/>
      <c r="D349"/>
      <c r="E349" t="s">
        <v>189</v>
      </c>
      <c r="F349" s="104">
        <v>1.29</v>
      </c>
    </row>
    <row r="350" spans="3:6" s="2" customFormat="1" ht="15.75" hidden="1" thickBot="1" x14ac:dyDescent="0.25">
      <c r="C350" s="35"/>
      <c r="D350" s="35"/>
      <c r="E350" s="35"/>
      <c r="F350" s="109"/>
    </row>
    <row r="351" spans="3:6" s="2" customFormat="1" ht="18.75" hidden="1" x14ac:dyDescent="0.3">
      <c r="C351" s="34" t="s">
        <v>37</v>
      </c>
      <c r="D351"/>
      <c r="E351" s="34" t="s">
        <v>38</v>
      </c>
      <c r="F351" s="36" t="s">
        <v>39</v>
      </c>
    </row>
    <row r="352" spans="3:6" s="2" customFormat="1" ht="15" hidden="1" x14ac:dyDescent="0.2">
      <c r="C352"/>
      <c r="D352"/>
      <c r="E352" t="s">
        <v>190</v>
      </c>
      <c r="F352" s="106">
        <v>1.08</v>
      </c>
    </row>
    <row r="353" spans="3:6" s="2" customFormat="1" ht="15" hidden="1" x14ac:dyDescent="0.2">
      <c r="C353"/>
      <c r="D353"/>
      <c r="E353" t="s">
        <v>191</v>
      </c>
      <c r="F353" s="106">
        <v>1.1100000000000001</v>
      </c>
    </row>
    <row r="354" spans="3:6" s="2" customFormat="1" ht="15" hidden="1" x14ac:dyDescent="0.2">
      <c r="C354"/>
      <c r="D354"/>
      <c r="E354" t="s">
        <v>192</v>
      </c>
      <c r="F354" s="106">
        <v>1.1200000000000001</v>
      </c>
    </row>
    <row r="355" spans="3:6" s="2" customFormat="1" ht="15" hidden="1" x14ac:dyDescent="0.2">
      <c r="C355"/>
      <c r="D355"/>
      <c r="E355" t="s">
        <v>193</v>
      </c>
      <c r="F355" s="106">
        <v>1.1000000000000001</v>
      </c>
    </row>
    <row r="356" spans="3:6" s="2" customFormat="1" ht="15" hidden="1" x14ac:dyDescent="0.2">
      <c r="C356"/>
      <c r="D356"/>
      <c r="E356" t="s">
        <v>194</v>
      </c>
      <c r="F356" s="106">
        <v>1.07</v>
      </c>
    </row>
    <row r="357" spans="3:6" s="2" customFormat="1" ht="15" hidden="1" x14ac:dyDescent="0.2">
      <c r="C357"/>
      <c r="D357"/>
      <c r="E357" t="s">
        <v>195</v>
      </c>
      <c r="F357" s="106">
        <v>1.07</v>
      </c>
    </row>
    <row r="358" spans="3:6" s="2" customFormat="1" ht="15" hidden="1" x14ac:dyDescent="0.2">
      <c r="C358"/>
      <c r="D358"/>
      <c r="E358" t="s">
        <v>196</v>
      </c>
      <c r="F358" s="106">
        <v>1.1399999999999999</v>
      </c>
    </row>
    <row r="359" spans="3:6" s="2" customFormat="1" ht="15" hidden="1" x14ac:dyDescent="0.2">
      <c r="C359" t="s">
        <v>28</v>
      </c>
      <c r="D359"/>
      <c r="E359" t="s">
        <v>197</v>
      </c>
      <c r="F359" s="106">
        <v>1.1299999999999999</v>
      </c>
    </row>
    <row r="360" spans="3:6" s="2" customFormat="1" ht="15" hidden="1" x14ac:dyDescent="0.2">
      <c r="C360"/>
      <c r="D360"/>
      <c r="E360" t="s">
        <v>28</v>
      </c>
      <c r="F360" s="106">
        <v>1.0900000000000001</v>
      </c>
    </row>
    <row r="361" spans="3:6" s="2" customFormat="1" ht="15" hidden="1" x14ac:dyDescent="0.2">
      <c r="C361"/>
      <c r="D361"/>
      <c r="E361" t="s">
        <v>198</v>
      </c>
      <c r="F361" s="106">
        <v>1.0900000000000001</v>
      </c>
    </row>
    <row r="362" spans="3:6" s="2" customFormat="1" ht="15" hidden="1" x14ac:dyDescent="0.2">
      <c r="C362"/>
      <c r="D362"/>
      <c r="E362" t="s">
        <v>199</v>
      </c>
      <c r="F362" s="106">
        <v>1.0900000000000001</v>
      </c>
    </row>
    <row r="363" spans="3:6" s="2" customFormat="1" ht="15" hidden="1" x14ac:dyDescent="0.2">
      <c r="C363"/>
      <c r="D363"/>
      <c r="E363" t="s">
        <v>200</v>
      </c>
      <c r="F363" s="106">
        <v>1.07</v>
      </c>
    </row>
    <row r="364" spans="3:6" s="2" customFormat="1" ht="15" hidden="1" x14ac:dyDescent="0.2">
      <c r="C364"/>
      <c r="D364"/>
      <c r="E364" t="s">
        <v>201</v>
      </c>
      <c r="F364" s="106">
        <v>1.1200000000000001</v>
      </c>
    </row>
    <row r="365" spans="3:6" s="2" customFormat="1" ht="15" hidden="1" x14ac:dyDescent="0.2">
      <c r="C365"/>
      <c r="D365"/>
      <c r="E365" t="s">
        <v>202</v>
      </c>
      <c r="F365" s="106">
        <v>1.07</v>
      </c>
    </row>
    <row r="366" spans="3:6" s="2" customFormat="1" ht="15" hidden="1" x14ac:dyDescent="0.2">
      <c r="C366"/>
      <c r="D366"/>
      <c r="E366" t="s">
        <v>203</v>
      </c>
      <c r="F366" s="106">
        <v>1.1000000000000001</v>
      </c>
    </row>
    <row r="367" spans="3:6" s="2" customFormat="1" ht="15" hidden="1" x14ac:dyDescent="0.2">
      <c r="C367"/>
      <c r="D367"/>
      <c r="E367" t="s">
        <v>204</v>
      </c>
      <c r="F367" s="106">
        <v>1.0900000000000001</v>
      </c>
    </row>
    <row r="368" spans="3:6" s="2" customFormat="1" ht="15.75" hidden="1" thickBot="1" x14ac:dyDescent="0.25">
      <c r="C368" s="35"/>
      <c r="D368" s="35"/>
      <c r="E368" s="35"/>
      <c r="F368" s="109"/>
    </row>
    <row r="369" spans="3:6" s="2" customFormat="1" ht="18.75" hidden="1" x14ac:dyDescent="0.3">
      <c r="C369" s="34" t="s">
        <v>37</v>
      </c>
      <c r="D369"/>
      <c r="E369" s="34" t="s">
        <v>38</v>
      </c>
      <c r="F369" s="36" t="s">
        <v>39</v>
      </c>
    </row>
    <row r="370" spans="3:6" s="2" customFormat="1" ht="15" hidden="1" x14ac:dyDescent="0.2">
      <c r="C370"/>
      <c r="D370"/>
      <c r="E370" t="s">
        <v>205</v>
      </c>
      <c r="F370" s="106">
        <v>1.05</v>
      </c>
    </row>
    <row r="371" spans="3:6" s="2" customFormat="1" ht="15" hidden="1" x14ac:dyDescent="0.2">
      <c r="C371"/>
      <c r="D371"/>
      <c r="E371" t="s">
        <v>206</v>
      </c>
      <c r="F371" s="106">
        <v>1.03</v>
      </c>
    </row>
    <row r="372" spans="3:6" s="2" customFormat="1" ht="15" hidden="1" x14ac:dyDescent="0.2">
      <c r="C372"/>
      <c r="D372"/>
      <c r="E372" t="s">
        <v>207</v>
      </c>
      <c r="F372" s="106">
        <v>1.04</v>
      </c>
    </row>
    <row r="373" spans="3:6" s="2" customFormat="1" ht="15" hidden="1" x14ac:dyDescent="0.2">
      <c r="C373"/>
      <c r="D373"/>
      <c r="E373" t="s">
        <v>208</v>
      </c>
      <c r="F373" s="106">
        <v>1.05</v>
      </c>
    </row>
    <row r="374" spans="3:6" s="2" customFormat="1" ht="15" hidden="1" x14ac:dyDescent="0.2">
      <c r="C374"/>
      <c r="D374"/>
      <c r="E374" t="s">
        <v>209</v>
      </c>
      <c r="F374" s="106">
        <v>1.06</v>
      </c>
    </row>
    <row r="375" spans="3:6" s="2" customFormat="1" ht="15" hidden="1" x14ac:dyDescent="0.2">
      <c r="C375"/>
      <c r="D375"/>
      <c r="E375" t="s">
        <v>210</v>
      </c>
      <c r="F375" s="106">
        <v>1.04</v>
      </c>
    </row>
    <row r="376" spans="3:6" s="2" customFormat="1" ht="15" hidden="1" x14ac:dyDescent="0.2">
      <c r="C376"/>
      <c r="D376"/>
      <c r="E376" t="s">
        <v>29</v>
      </c>
      <c r="F376" s="106">
        <v>1.02</v>
      </c>
    </row>
    <row r="377" spans="3:6" s="2" customFormat="1" ht="15" hidden="1" x14ac:dyDescent="0.2">
      <c r="C377" t="s">
        <v>29</v>
      </c>
      <c r="D377"/>
      <c r="E377" t="s">
        <v>211</v>
      </c>
      <c r="F377" s="106">
        <v>1.03</v>
      </c>
    </row>
    <row r="378" spans="3:6" s="2" customFormat="1" ht="15" hidden="1" x14ac:dyDescent="0.2">
      <c r="C378"/>
      <c r="D378"/>
      <c r="E378" t="s">
        <v>212</v>
      </c>
      <c r="F378" s="106">
        <v>1.06</v>
      </c>
    </row>
    <row r="379" spans="3:6" s="2" customFormat="1" ht="15" hidden="1" x14ac:dyDescent="0.2">
      <c r="C379"/>
      <c r="D379"/>
      <c r="E379" t="s">
        <v>213</v>
      </c>
      <c r="F379" s="106">
        <v>1.04</v>
      </c>
    </row>
    <row r="380" spans="3:6" s="2" customFormat="1" ht="15" hidden="1" x14ac:dyDescent="0.2">
      <c r="C380"/>
      <c r="D380"/>
      <c r="E380" t="s">
        <v>214</v>
      </c>
      <c r="F380" s="106">
        <v>1.03</v>
      </c>
    </row>
    <row r="381" spans="3:6" s="2" customFormat="1" ht="15" hidden="1" x14ac:dyDescent="0.2">
      <c r="C381"/>
      <c r="D381"/>
      <c r="E381" t="s">
        <v>215</v>
      </c>
      <c r="F381" s="106">
        <v>1.03</v>
      </c>
    </row>
    <row r="382" spans="3:6" s="2" customFormat="1" ht="15" hidden="1" x14ac:dyDescent="0.2">
      <c r="C382"/>
      <c r="D382"/>
      <c r="E382" t="s">
        <v>216</v>
      </c>
      <c r="F382" s="106">
        <v>1.04</v>
      </c>
    </row>
    <row r="383" spans="3:6" s="2" customFormat="1" ht="15" hidden="1" x14ac:dyDescent="0.2">
      <c r="C383"/>
      <c r="D383"/>
      <c r="E383" t="s">
        <v>217</v>
      </c>
      <c r="F383" s="106">
        <v>1.05</v>
      </c>
    </row>
    <row r="384" spans="3:6" s="2" customFormat="1" ht="15" hidden="1" x14ac:dyDescent="0.2">
      <c r="C384"/>
      <c r="D384"/>
      <c r="E384" t="s">
        <v>218</v>
      </c>
      <c r="F384" s="106">
        <v>1.05</v>
      </c>
    </row>
    <row r="385" spans="3:6" s="2" customFormat="1" ht="15" hidden="1" x14ac:dyDescent="0.2">
      <c r="C385"/>
      <c r="D385"/>
      <c r="E385" t="s">
        <v>219</v>
      </c>
      <c r="F385" s="106">
        <v>1.04</v>
      </c>
    </row>
    <row r="386" spans="3:6" s="2" customFormat="1" ht="15.75" hidden="1" thickBot="1" x14ac:dyDescent="0.25">
      <c r="C386" s="35"/>
      <c r="D386" s="35"/>
      <c r="E386" s="35"/>
      <c r="F386" s="109"/>
    </row>
    <row r="387" spans="3:6" s="2" customFormat="1" ht="18.75" hidden="1" x14ac:dyDescent="0.3">
      <c r="C387" s="34" t="s">
        <v>37</v>
      </c>
      <c r="D387"/>
      <c r="E387" s="34" t="s">
        <v>38</v>
      </c>
      <c r="F387" s="36" t="s">
        <v>39</v>
      </c>
    </row>
    <row r="388" spans="3:6" s="2" customFormat="1" ht="15" hidden="1" x14ac:dyDescent="0.2">
      <c r="C388"/>
      <c r="D388"/>
      <c r="E388" t="s">
        <v>220</v>
      </c>
      <c r="F388" s="106">
        <v>1.06</v>
      </c>
    </row>
    <row r="389" spans="3:6" s="2" customFormat="1" ht="15" hidden="1" x14ac:dyDescent="0.2">
      <c r="C389"/>
      <c r="D389"/>
      <c r="E389" t="s">
        <v>221</v>
      </c>
      <c r="F389" s="106">
        <v>1.08</v>
      </c>
    </row>
    <row r="390" spans="3:6" s="2" customFormat="1" ht="15" hidden="1" x14ac:dyDescent="0.2">
      <c r="C390"/>
      <c r="D390"/>
      <c r="E390" t="s">
        <v>222</v>
      </c>
      <c r="F390" s="106">
        <v>1.06</v>
      </c>
    </row>
    <row r="391" spans="3:6" s="2" customFormat="1" ht="15" hidden="1" x14ac:dyDescent="0.2">
      <c r="C391"/>
      <c r="D391"/>
      <c r="E391" t="s">
        <v>223</v>
      </c>
      <c r="F391" s="106">
        <v>1.0900000000000001</v>
      </c>
    </row>
    <row r="392" spans="3:6" s="2" customFormat="1" ht="15" hidden="1" x14ac:dyDescent="0.2">
      <c r="C392"/>
      <c r="D392"/>
      <c r="E392" t="s">
        <v>224</v>
      </c>
      <c r="F392" s="106">
        <v>1.07</v>
      </c>
    </row>
    <row r="393" spans="3:6" s="2" customFormat="1" ht="15" hidden="1" x14ac:dyDescent="0.2">
      <c r="C393"/>
      <c r="D393"/>
      <c r="E393" t="s">
        <v>225</v>
      </c>
      <c r="F393" s="106">
        <v>1.06</v>
      </c>
    </row>
    <row r="394" spans="3:6" s="2" customFormat="1" ht="15" hidden="1" x14ac:dyDescent="0.2">
      <c r="C394" t="s">
        <v>30</v>
      </c>
      <c r="D394"/>
      <c r="E394" t="s">
        <v>226</v>
      </c>
      <c r="F394" s="106">
        <v>1.08</v>
      </c>
    </row>
    <row r="395" spans="3:6" s="2" customFormat="1" ht="15" hidden="1" x14ac:dyDescent="0.2">
      <c r="C395"/>
      <c r="D395"/>
      <c r="E395" t="s">
        <v>227</v>
      </c>
      <c r="F395" s="106">
        <v>1.07</v>
      </c>
    </row>
    <row r="396" spans="3:6" s="2" customFormat="1" ht="15" hidden="1" x14ac:dyDescent="0.2">
      <c r="C396"/>
      <c r="D396"/>
      <c r="E396" t="s">
        <v>228</v>
      </c>
      <c r="F396" s="106">
        <v>1.06</v>
      </c>
    </row>
    <row r="397" spans="3:6" s="2" customFormat="1" ht="15" hidden="1" x14ac:dyDescent="0.2">
      <c r="C397"/>
      <c r="D397"/>
      <c r="E397" t="s">
        <v>229</v>
      </c>
      <c r="F397" s="106">
        <v>1.1000000000000001</v>
      </c>
    </row>
    <row r="398" spans="3:6" s="2" customFormat="1" ht="15" hidden="1" x14ac:dyDescent="0.2">
      <c r="C398"/>
      <c r="D398"/>
      <c r="E398" t="s">
        <v>230</v>
      </c>
      <c r="F398" s="106">
        <v>1.08</v>
      </c>
    </row>
    <row r="399" spans="3:6" s="2" customFormat="1" ht="15" hidden="1" x14ac:dyDescent="0.2">
      <c r="C399"/>
      <c r="D399"/>
      <c r="E399" t="s">
        <v>231</v>
      </c>
      <c r="F399" s="106">
        <v>1.07</v>
      </c>
    </row>
    <row r="400" spans="3:6" s="2" customFormat="1" ht="15" hidden="1" x14ac:dyDescent="0.2">
      <c r="C400"/>
      <c r="D400"/>
      <c r="E400" t="s">
        <v>232</v>
      </c>
      <c r="F400" s="106">
        <v>1.05</v>
      </c>
    </row>
    <row r="401" spans="3:6" s="2" customFormat="1" ht="15" hidden="1" x14ac:dyDescent="0.2">
      <c r="C401"/>
      <c r="D401"/>
      <c r="E401" t="s">
        <v>30</v>
      </c>
      <c r="F401" s="106">
        <v>1.0900000000000001</v>
      </c>
    </row>
    <row r="402" spans="3:6" s="2" customFormat="1" ht="15" hidden="1" x14ac:dyDescent="0.2">
      <c r="C402"/>
      <c r="D402"/>
      <c r="E402" t="s">
        <v>233</v>
      </c>
      <c r="F402" s="106">
        <v>1.06</v>
      </c>
    </row>
    <row r="403" spans="3:6" s="2" customFormat="1" ht="15.75" hidden="1" thickBot="1" x14ac:dyDescent="0.25">
      <c r="C403" s="35"/>
      <c r="D403" s="35"/>
      <c r="E403" s="35"/>
      <c r="F403" s="109"/>
    </row>
    <row r="404" spans="3:6" s="2" customFormat="1" ht="18.75" hidden="1" x14ac:dyDescent="0.3">
      <c r="C404" s="34" t="s">
        <v>37</v>
      </c>
      <c r="D404"/>
      <c r="E404" s="34" t="s">
        <v>38</v>
      </c>
      <c r="F404" s="36" t="s">
        <v>39</v>
      </c>
    </row>
    <row r="405" spans="3:6" s="2" customFormat="1" ht="15" hidden="1" x14ac:dyDescent="0.2">
      <c r="C405"/>
      <c r="D405"/>
      <c r="E405" t="s">
        <v>234</v>
      </c>
      <c r="F405" s="106">
        <v>1.19</v>
      </c>
    </row>
    <row r="406" spans="3:6" s="2" customFormat="1" ht="15" hidden="1" x14ac:dyDescent="0.2">
      <c r="C406"/>
      <c r="D406"/>
      <c r="E406" t="s">
        <v>235</v>
      </c>
      <c r="F406" s="106">
        <v>1.19</v>
      </c>
    </row>
    <row r="407" spans="3:6" s="2" customFormat="1" ht="15" hidden="1" x14ac:dyDescent="0.2">
      <c r="C407"/>
      <c r="D407"/>
      <c r="E407" t="s">
        <v>236</v>
      </c>
      <c r="F407" s="106">
        <v>1.22</v>
      </c>
    </row>
    <row r="408" spans="3:6" s="2" customFormat="1" ht="15" hidden="1" x14ac:dyDescent="0.2">
      <c r="C408"/>
      <c r="D408"/>
      <c r="E408" t="s">
        <v>237</v>
      </c>
      <c r="F408" s="106">
        <v>1.19</v>
      </c>
    </row>
    <row r="409" spans="3:6" s="2" customFormat="1" ht="15" hidden="1" x14ac:dyDescent="0.2">
      <c r="C409"/>
      <c r="D409"/>
      <c r="E409" t="s">
        <v>238</v>
      </c>
      <c r="F409" s="106">
        <v>1.21</v>
      </c>
    </row>
    <row r="410" spans="3:6" s="2" customFormat="1" ht="15" hidden="1" x14ac:dyDescent="0.2">
      <c r="C410"/>
      <c r="D410"/>
      <c r="E410" t="s">
        <v>239</v>
      </c>
      <c r="F410" s="106">
        <v>1.2</v>
      </c>
    </row>
    <row r="411" spans="3:6" s="2" customFormat="1" ht="15" hidden="1" x14ac:dyDescent="0.2">
      <c r="C411"/>
      <c r="D411"/>
      <c r="E411" t="s">
        <v>240</v>
      </c>
      <c r="F411" s="106">
        <v>1.19</v>
      </c>
    </row>
    <row r="412" spans="3:6" s="2" customFormat="1" ht="15" hidden="1" x14ac:dyDescent="0.2">
      <c r="C412"/>
      <c r="D412"/>
      <c r="E412" t="s">
        <v>241</v>
      </c>
      <c r="F412" s="106">
        <v>1.2</v>
      </c>
    </row>
    <row r="413" spans="3:6" s="2" customFormat="1" ht="15" hidden="1" x14ac:dyDescent="0.2">
      <c r="C413" t="s">
        <v>31</v>
      </c>
      <c r="D413"/>
      <c r="E413" t="s">
        <v>242</v>
      </c>
      <c r="F413" s="106">
        <v>1.21</v>
      </c>
    </row>
    <row r="414" spans="3:6" s="2" customFormat="1" ht="15" hidden="1" x14ac:dyDescent="0.2">
      <c r="C414"/>
      <c r="D414"/>
      <c r="E414" t="s">
        <v>243</v>
      </c>
      <c r="F414" s="106">
        <v>1.2</v>
      </c>
    </row>
    <row r="415" spans="3:6" s="2" customFormat="1" ht="15" hidden="1" x14ac:dyDescent="0.2">
      <c r="C415"/>
      <c r="D415"/>
      <c r="E415" t="s">
        <v>244</v>
      </c>
      <c r="F415" s="106">
        <v>1.19</v>
      </c>
    </row>
    <row r="416" spans="3:6" s="2" customFormat="1" ht="15" hidden="1" x14ac:dyDescent="0.2">
      <c r="C416"/>
      <c r="D416"/>
      <c r="E416" t="s">
        <v>31</v>
      </c>
      <c r="F416" s="106">
        <v>1.19</v>
      </c>
    </row>
    <row r="417" spans="3:6" s="2" customFormat="1" ht="15" hidden="1" x14ac:dyDescent="0.2">
      <c r="C417"/>
      <c r="D417"/>
      <c r="E417" t="s">
        <v>245</v>
      </c>
      <c r="F417" s="106">
        <v>1.22</v>
      </c>
    </row>
    <row r="418" spans="3:6" s="2" customFormat="1" ht="15" hidden="1" x14ac:dyDescent="0.2">
      <c r="C418"/>
      <c r="D418"/>
      <c r="E418" t="s">
        <v>246</v>
      </c>
      <c r="F418" s="106">
        <v>1.21</v>
      </c>
    </row>
    <row r="419" spans="3:6" s="2" customFormat="1" ht="15" hidden="1" x14ac:dyDescent="0.2">
      <c r="C419"/>
      <c r="D419"/>
      <c r="E419" t="s">
        <v>247</v>
      </c>
      <c r="F419" s="106">
        <v>1.21</v>
      </c>
    </row>
    <row r="420" spans="3:6" s="2" customFormat="1" ht="15" hidden="1" x14ac:dyDescent="0.2">
      <c r="C420"/>
      <c r="D420"/>
      <c r="E420" t="s">
        <v>248</v>
      </c>
      <c r="F420" s="106">
        <v>1.21</v>
      </c>
    </row>
    <row r="421" spans="3:6" s="2" customFormat="1" ht="15" hidden="1" x14ac:dyDescent="0.2">
      <c r="C421"/>
      <c r="D421"/>
      <c r="E421" t="s">
        <v>249</v>
      </c>
      <c r="F421" s="106">
        <v>1.21</v>
      </c>
    </row>
    <row r="422" spans="3:6" s="2" customFormat="1" ht="15" hidden="1" x14ac:dyDescent="0.2">
      <c r="C422"/>
      <c r="D422"/>
      <c r="E422" t="s">
        <v>250</v>
      </c>
      <c r="F422" s="106">
        <v>1.18</v>
      </c>
    </row>
    <row r="423" spans="3:6" s="2" customFormat="1" ht="15.75" hidden="1" thickBot="1" x14ac:dyDescent="0.25">
      <c r="C423" s="35"/>
      <c r="D423" s="35"/>
      <c r="E423" s="35"/>
      <c r="F423" s="109"/>
    </row>
    <row r="424" spans="3:6" s="2" customFormat="1" ht="18.75" hidden="1" x14ac:dyDescent="0.3">
      <c r="C424" s="34" t="s">
        <v>37</v>
      </c>
      <c r="D424"/>
      <c r="E424" s="34" t="s">
        <v>38</v>
      </c>
      <c r="F424" s="36" t="s">
        <v>39</v>
      </c>
    </row>
    <row r="425" spans="3:6" s="2" customFormat="1" ht="15" hidden="1" x14ac:dyDescent="0.2">
      <c r="C425"/>
      <c r="D425"/>
      <c r="E425" t="s">
        <v>251</v>
      </c>
      <c r="F425" s="106">
        <v>1.06</v>
      </c>
    </row>
    <row r="426" spans="3:6" s="2" customFormat="1" ht="15" hidden="1" x14ac:dyDescent="0.2">
      <c r="C426"/>
      <c r="D426"/>
      <c r="E426" t="s">
        <v>252</v>
      </c>
      <c r="F426" s="106">
        <v>1.07</v>
      </c>
    </row>
    <row r="427" spans="3:6" s="2" customFormat="1" ht="15" hidden="1" x14ac:dyDescent="0.2">
      <c r="C427"/>
      <c r="D427"/>
      <c r="E427" t="s">
        <v>253</v>
      </c>
      <c r="F427" s="106">
        <v>1.05</v>
      </c>
    </row>
    <row r="428" spans="3:6" s="2" customFormat="1" ht="15" hidden="1" x14ac:dyDescent="0.2">
      <c r="C428"/>
      <c r="D428"/>
      <c r="E428" t="s">
        <v>254</v>
      </c>
      <c r="F428" s="106">
        <v>1.06</v>
      </c>
    </row>
    <row r="429" spans="3:6" s="2" customFormat="1" ht="15" hidden="1" x14ac:dyDescent="0.2">
      <c r="C429"/>
      <c r="D429"/>
      <c r="E429" t="s">
        <v>255</v>
      </c>
      <c r="F429" s="106">
        <v>1.03</v>
      </c>
    </row>
    <row r="430" spans="3:6" s="2" customFormat="1" ht="15" hidden="1" x14ac:dyDescent="0.2">
      <c r="C430"/>
      <c r="D430"/>
      <c r="E430" t="s">
        <v>256</v>
      </c>
      <c r="F430" s="106">
        <v>1.05</v>
      </c>
    </row>
    <row r="431" spans="3:6" s="2" customFormat="1" ht="15" hidden="1" x14ac:dyDescent="0.2">
      <c r="C431"/>
      <c r="D431"/>
      <c r="E431" t="s">
        <v>257</v>
      </c>
      <c r="F431" s="106">
        <v>1.05</v>
      </c>
    </row>
    <row r="432" spans="3:6" s="2" customFormat="1" ht="15" hidden="1" x14ac:dyDescent="0.2">
      <c r="C432"/>
      <c r="D432"/>
      <c r="E432" t="s">
        <v>258</v>
      </c>
      <c r="F432" s="106">
        <v>1.06</v>
      </c>
    </row>
    <row r="433" spans="3:7" s="2" customFormat="1" ht="15" hidden="1" x14ac:dyDescent="0.2">
      <c r="C433"/>
      <c r="D433"/>
      <c r="E433" t="s">
        <v>259</v>
      </c>
      <c r="F433" s="106">
        <v>1.04</v>
      </c>
    </row>
    <row r="434" spans="3:7" s="2" customFormat="1" ht="15" hidden="1" x14ac:dyDescent="0.2">
      <c r="C434" t="s">
        <v>32</v>
      </c>
      <c r="D434"/>
      <c r="E434" t="s">
        <v>260</v>
      </c>
      <c r="F434" s="106">
        <v>1.07</v>
      </c>
    </row>
    <row r="435" spans="3:7" s="2" customFormat="1" ht="15" hidden="1" x14ac:dyDescent="0.2">
      <c r="C435"/>
      <c r="D435"/>
      <c r="E435" t="s">
        <v>261</v>
      </c>
      <c r="F435" s="106">
        <v>1.08</v>
      </c>
    </row>
    <row r="436" spans="3:7" s="2" customFormat="1" ht="15" hidden="1" x14ac:dyDescent="0.2">
      <c r="C436"/>
      <c r="D436"/>
      <c r="E436" t="s">
        <v>262</v>
      </c>
      <c r="F436" s="106">
        <v>1.07</v>
      </c>
    </row>
    <row r="437" spans="3:7" s="2" customFormat="1" ht="15" hidden="1" x14ac:dyDescent="0.2">
      <c r="C437"/>
      <c r="D437"/>
      <c r="E437" t="s">
        <v>263</v>
      </c>
      <c r="F437" s="106">
        <v>1.07</v>
      </c>
    </row>
    <row r="438" spans="3:7" s="2" customFormat="1" ht="15" hidden="1" x14ac:dyDescent="0.2">
      <c r="C438"/>
      <c r="D438"/>
      <c r="E438" t="s">
        <v>264</v>
      </c>
      <c r="F438" s="106">
        <v>1.08</v>
      </c>
    </row>
    <row r="439" spans="3:7" s="2" customFormat="1" ht="15" hidden="1" x14ac:dyDescent="0.2">
      <c r="C439"/>
      <c r="D439"/>
      <c r="E439" t="s">
        <v>265</v>
      </c>
      <c r="F439" s="106">
        <v>1.06</v>
      </c>
    </row>
    <row r="440" spans="3:7" s="2" customFormat="1" ht="15" hidden="1" x14ac:dyDescent="0.2">
      <c r="C440"/>
      <c r="D440"/>
      <c r="E440" t="s">
        <v>266</v>
      </c>
      <c r="F440" s="106">
        <v>1.05</v>
      </c>
    </row>
    <row r="441" spans="3:7" s="2" customFormat="1" ht="15" hidden="1" x14ac:dyDescent="0.2">
      <c r="C441"/>
      <c r="D441"/>
      <c r="E441" t="s">
        <v>32</v>
      </c>
      <c r="F441" s="106">
        <v>1.06</v>
      </c>
    </row>
    <row r="442" spans="3:7" s="2" customFormat="1" ht="15" hidden="1" x14ac:dyDescent="0.2">
      <c r="C442"/>
      <c r="D442"/>
      <c r="E442" t="s">
        <v>267</v>
      </c>
      <c r="F442" s="106">
        <v>1.07</v>
      </c>
    </row>
    <row r="443" spans="3:7" s="2" customFormat="1" ht="15" hidden="1" x14ac:dyDescent="0.2">
      <c r="C443"/>
      <c r="D443"/>
      <c r="E443" t="s">
        <v>268</v>
      </c>
      <c r="F443" s="106">
        <v>1.07</v>
      </c>
    </row>
    <row r="444" spans="3:7" hidden="1" x14ac:dyDescent="0.2">
      <c r="E444" t="s">
        <v>269</v>
      </c>
      <c r="F444" s="106">
        <v>1.06</v>
      </c>
      <c r="G444" s="32"/>
    </row>
    <row r="445" spans="3:7" ht="13.5" hidden="1" thickBot="1" x14ac:dyDescent="0.25">
      <c r="C445" s="35"/>
      <c r="D445" s="35"/>
      <c r="E445" s="35"/>
      <c r="F445" s="109"/>
      <c r="G445" s="32"/>
    </row>
    <row r="446" spans="3:7" ht="18.75" hidden="1" x14ac:dyDescent="0.3">
      <c r="C446" s="34" t="s">
        <v>37</v>
      </c>
      <c r="E446" s="34" t="s">
        <v>38</v>
      </c>
      <c r="F446" s="36" t="s">
        <v>39</v>
      </c>
      <c r="G446" s="32"/>
    </row>
    <row r="447" spans="3:7" hidden="1" x14ac:dyDescent="0.2">
      <c r="E447" t="s">
        <v>270</v>
      </c>
      <c r="F447" s="106">
        <v>1.03</v>
      </c>
      <c r="G447" s="32"/>
    </row>
    <row r="448" spans="3:7" hidden="1" x14ac:dyDescent="0.2">
      <c r="E448" t="s">
        <v>271</v>
      </c>
      <c r="F448" s="106">
        <v>1.03</v>
      </c>
      <c r="G448" s="32"/>
    </row>
    <row r="449" spans="3:7" hidden="1" x14ac:dyDescent="0.2">
      <c r="E449" t="s">
        <v>272</v>
      </c>
      <c r="F449" s="106">
        <v>1.01</v>
      </c>
      <c r="G449" s="32"/>
    </row>
    <row r="450" spans="3:7" hidden="1" x14ac:dyDescent="0.2">
      <c r="E450" t="s">
        <v>273</v>
      </c>
      <c r="F450" s="106">
        <v>1.01</v>
      </c>
      <c r="G450" s="32"/>
    </row>
    <row r="451" spans="3:7" hidden="1" x14ac:dyDescent="0.2">
      <c r="E451" t="s">
        <v>274</v>
      </c>
      <c r="F451" s="106">
        <v>1.04</v>
      </c>
      <c r="G451" s="32"/>
    </row>
    <row r="452" spans="3:7" hidden="1" x14ac:dyDescent="0.2">
      <c r="C452" t="s">
        <v>33</v>
      </c>
      <c r="E452" t="s">
        <v>275</v>
      </c>
      <c r="F452" s="106">
        <v>1.02</v>
      </c>
      <c r="G452" s="32"/>
    </row>
    <row r="453" spans="3:7" hidden="1" x14ac:dyDescent="0.2">
      <c r="E453" t="s">
        <v>276</v>
      </c>
      <c r="F453" s="106">
        <v>1.03</v>
      </c>
      <c r="G453" s="32"/>
    </row>
    <row r="454" spans="3:7" hidden="1" x14ac:dyDescent="0.2">
      <c r="E454" t="s">
        <v>277</v>
      </c>
      <c r="F454" s="106">
        <v>1.02</v>
      </c>
      <c r="G454" s="32"/>
    </row>
    <row r="455" spans="3:7" hidden="1" x14ac:dyDescent="0.2">
      <c r="E455" t="s">
        <v>278</v>
      </c>
      <c r="F455" s="106">
        <v>1.05</v>
      </c>
      <c r="G455" s="32"/>
    </row>
    <row r="456" spans="3:7" hidden="1" x14ac:dyDescent="0.2">
      <c r="E456" t="s">
        <v>279</v>
      </c>
      <c r="F456" s="106">
        <v>1</v>
      </c>
      <c r="G456" s="32"/>
    </row>
    <row r="457" spans="3:7" hidden="1" x14ac:dyDescent="0.2">
      <c r="E457" t="s">
        <v>280</v>
      </c>
      <c r="F457" s="106">
        <v>1.1000000000000001</v>
      </c>
      <c r="G457" s="32"/>
    </row>
    <row r="458" spans="3:7" hidden="1" x14ac:dyDescent="0.2">
      <c r="E458" t="s">
        <v>33</v>
      </c>
      <c r="F458" s="106">
        <v>1.03</v>
      </c>
      <c r="G458" s="32"/>
    </row>
    <row r="459" spans="3:7" hidden="1" x14ac:dyDescent="0.2">
      <c r="E459" t="s">
        <v>281</v>
      </c>
      <c r="F459" s="106">
        <v>1.06</v>
      </c>
      <c r="G459" s="32"/>
    </row>
    <row r="460" spans="3:7" ht="13.5" hidden="1" thickBot="1" x14ac:dyDescent="0.25">
      <c r="C460" s="35"/>
      <c r="D460" s="35"/>
      <c r="E460" s="35"/>
      <c r="F460" s="109"/>
      <c r="G460" s="32"/>
    </row>
    <row r="461" spans="3:7" ht="18.75" hidden="1" x14ac:dyDescent="0.3">
      <c r="C461" s="34" t="s">
        <v>37</v>
      </c>
      <c r="E461" s="34" t="s">
        <v>38</v>
      </c>
      <c r="F461" s="36" t="s">
        <v>39</v>
      </c>
      <c r="G461" s="32"/>
    </row>
    <row r="462" spans="3:7" hidden="1" x14ac:dyDescent="0.2">
      <c r="E462" t="s">
        <v>282</v>
      </c>
      <c r="F462" s="106">
        <v>1.26</v>
      </c>
      <c r="G462" s="32"/>
    </row>
    <row r="463" spans="3:7" hidden="1" x14ac:dyDescent="0.2">
      <c r="E463" t="s">
        <v>283</v>
      </c>
      <c r="F463" s="106">
        <v>1.25</v>
      </c>
      <c r="G463" s="32"/>
    </row>
    <row r="464" spans="3:7" hidden="1" x14ac:dyDescent="0.2">
      <c r="E464" t="s">
        <v>284</v>
      </c>
      <c r="F464" s="106">
        <v>1.27</v>
      </c>
      <c r="G464" s="32"/>
    </row>
    <row r="465" spans="3:7" hidden="1" x14ac:dyDescent="0.2">
      <c r="E465" t="s">
        <v>285</v>
      </c>
      <c r="F465" s="106">
        <v>1.26</v>
      </c>
      <c r="G465" s="32"/>
    </row>
    <row r="466" spans="3:7" hidden="1" x14ac:dyDescent="0.2">
      <c r="C466" t="s">
        <v>34</v>
      </c>
      <c r="E466" t="s">
        <v>286</v>
      </c>
      <c r="F466" s="106">
        <v>1.25</v>
      </c>
      <c r="G466" s="32"/>
    </row>
    <row r="467" spans="3:7" hidden="1" x14ac:dyDescent="0.2">
      <c r="E467" t="s">
        <v>287</v>
      </c>
      <c r="F467" s="106">
        <v>1.25</v>
      </c>
      <c r="G467" s="32"/>
    </row>
    <row r="468" spans="3:7" hidden="1" x14ac:dyDescent="0.2">
      <c r="E468" t="s">
        <v>288</v>
      </c>
      <c r="F468" s="106">
        <v>1.24</v>
      </c>
      <c r="G468" s="32"/>
    </row>
    <row r="469" spans="3:7" hidden="1" x14ac:dyDescent="0.2">
      <c r="E469" t="s">
        <v>289</v>
      </c>
      <c r="F469" s="106">
        <v>1.26</v>
      </c>
      <c r="G469" s="32"/>
    </row>
    <row r="470" spans="3:7" hidden="1" x14ac:dyDescent="0.2">
      <c r="E470" t="s">
        <v>34</v>
      </c>
      <c r="F470" s="106">
        <v>1.24</v>
      </c>
      <c r="G470" s="32"/>
    </row>
    <row r="471" spans="3:7" hidden="1" x14ac:dyDescent="0.2">
      <c r="E471" t="s">
        <v>290</v>
      </c>
      <c r="F471" s="106">
        <v>1.26</v>
      </c>
      <c r="G471" s="32"/>
    </row>
    <row r="472" spans="3:7" ht="13.5" hidden="1" thickBot="1" x14ac:dyDescent="0.25">
      <c r="C472" s="35"/>
      <c r="D472" s="35"/>
      <c r="E472" s="35"/>
      <c r="F472" s="109"/>
      <c r="G472" s="32"/>
    </row>
    <row r="473" spans="3:7" ht="18.75" hidden="1" x14ac:dyDescent="0.3">
      <c r="C473" s="34" t="s">
        <v>37</v>
      </c>
      <c r="E473" s="34" t="s">
        <v>38</v>
      </c>
      <c r="F473" s="36" t="s">
        <v>39</v>
      </c>
      <c r="G473" s="32"/>
    </row>
    <row r="474" spans="3:7" hidden="1" x14ac:dyDescent="0.2">
      <c r="E474" t="s">
        <v>291</v>
      </c>
      <c r="F474" s="106">
        <v>1.23</v>
      </c>
      <c r="G474" s="32"/>
    </row>
    <row r="475" spans="3:7" hidden="1" x14ac:dyDescent="0.2">
      <c r="E475" t="s">
        <v>292</v>
      </c>
      <c r="F475" s="106">
        <v>1.24</v>
      </c>
      <c r="G475" s="32"/>
    </row>
    <row r="476" spans="3:7" hidden="1" x14ac:dyDescent="0.2">
      <c r="E476" t="s">
        <v>293</v>
      </c>
      <c r="F476" s="106">
        <v>1.24</v>
      </c>
      <c r="G476" s="32"/>
    </row>
    <row r="477" spans="3:7" hidden="1" x14ac:dyDescent="0.2">
      <c r="E477" t="s">
        <v>294</v>
      </c>
      <c r="F477" s="106">
        <v>1.21</v>
      </c>
      <c r="G477" s="32"/>
    </row>
    <row r="478" spans="3:7" hidden="1" x14ac:dyDescent="0.2">
      <c r="E478" t="s">
        <v>295</v>
      </c>
      <c r="F478" s="106">
        <v>1.23</v>
      </c>
      <c r="G478" s="32"/>
    </row>
    <row r="479" spans="3:7" hidden="1" x14ac:dyDescent="0.2">
      <c r="E479" t="s">
        <v>296</v>
      </c>
      <c r="F479" s="106">
        <v>1.25</v>
      </c>
      <c r="G479" s="32"/>
    </row>
    <row r="480" spans="3:7" hidden="1" x14ac:dyDescent="0.2">
      <c r="C480" t="s">
        <v>35</v>
      </c>
      <c r="E480" t="s">
        <v>297</v>
      </c>
      <c r="F480" s="106">
        <v>1.24</v>
      </c>
      <c r="G480" s="32"/>
    </row>
    <row r="481" spans="3:7" hidden="1" x14ac:dyDescent="0.2">
      <c r="E481" t="s">
        <v>298</v>
      </c>
      <c r="F481" s="106">
        <v>1.21</v>
      </c>
      <c r="G481" s="32"/>
    </row>
    <row r="482" spans="3:7" hidden="1" x14ac:dyDescent="0.2">
      <c r="E482" t="s">
        <v>299</v>
      </c>
      <c r="F482" s="106">
        <v>1.23</v>
      </c>
      <c r="G482" s="32"/>
    </row>
    <row r="483" spans="3:7" hidden="1" x14ac:dyDescent="0.2">
      <c r="E483" t="s">
        <v>300</v>
      </c>
      <c r="F483" s="106">
        <v>1.22</v>
      </c>
      <c r="G483" s="32"/>
    </row>
    <row r="484" spans="3:7" hidden="1" x14ac:dyDescent="0.2">
      <c r="E484" t="s">
        <v>301</v>
      </c>
      <c r="F484" s="106">
        <v>1.22</v>
      </c>
      <c r="G484" s="32"/>
    </row>
    <row r="485" spans="3:7" hidden="1" x14ac:dyDescent="0.2">
      <c r="E485" t="s">
        <v>302</v>
      </c>
      <c r="F485" s="106">
        <v>1.24</v>
      </c>
      <c r="G485" s="32"/>
    </row>
    <row r="486" spans="3:7" hidden="1" x14ac:dyDescent="0.2">
      <c r="E486" t="s">
        <v>303</v>
      </c>
      <c r="F486" s="106">
        <v>1.23</v>
      </c>
      <c r="G486" s="32"/>
    </row>
    <row r="487" spans="3:7" hidden="1" x14ac:dyDescent="0.2">
      <c r="E487" t="s">
        <v>35</v>
      </c>
      <c r="F487" s="106">
        <v>1.22</v>
      </c>
      <c r="G487" s="32"/>
    </row>
    <row r="488" spans="3:7" ht="13.5" hidden="1" thickBot="1" x14ac:dyDescent="0.25">
      <c r="C488" s="35"/>
      <c r="D488" s="35"/>
      <c r="E488" s="35"/>
      <c r="F488" s="109"/>
      <c r="G488" s="32"/>
    </row>
    <row r="489" spans="3:7" ht="18.75" hidden="1" x14ac:dyDescent="0.3">
      <c r="C489" s="34" t="s">
        <v>37</v>
      </c>
      <c r="E489" s="34" t="s">
        <v>38</v>
      </c>
      <c r="F489" s="36" t="s">
        <v>39</v>
      </c>
      <c r="G489" s="32"/>
    </row>
    <row r="490" spans="3:7" hidden="1" x14ac:dyDescent="0.2">
      <c r="E490" t="s">
        <v>304</v>
      </c>
      <c r="F490" s="106">
        <v>1.21</v>
      </c>
      <c r="G490" s="32"/>
    </row>
    <row r="491" spans="3:7" hidden="1" x14ac:dyDescent="0.2">
      <c r="E491" t="s">
        <v>305</v>
      </c>
      <c r="F491" s="106">
        <v>1.1399999999999999</v>
      </c>
      <c r="G491" s="32"/>
    </row>
    <row r="492" spans="3:7" hidden="1" x14ac:dyDescent="0.2">
      <c r="E492" t="s">
        <v>306</v>
      </c>
      <c r="F492" s="106">
        <v>1.19</v>
      </c>
      <c r="G492" s="32"/>
    </row>
    <row r="493" spans="3:7" hidden="1" x14ac:dyDescent="0.2">
      <c r="E493" t="s">
        <v>307</v>
      </c>
      <c r="F493" s="106">
        <v>1.2</v>
      </c>
      <c r="G493" s="32"/>
    </row>
    <row r="494" spans="3:7" hidden="1" x14ac:dyDescent="0.2">
      <c r="E494" t="s">
        <v>308</v>
      </c>
      <c r="F494" s="106">
        <v>1.2</v>
      </c>
      <c r="G494" s="32"/>
    </row>
    <row r="495" spans="3:7" hidden="1" x14ac:dyDescent="0.2">
      <c r="E495" t="s">
        <v>309</v>
      </c>
      <c r="F495" s="106">
        <v>1.1599999999999999</v>
      </c>
      <c r="G495" s="32"/>
    </row>
    <row r="496" spans="3:7" hidden="1" x14ac:dyDescent="0.2">
      <c r="E496" t="s">
        <v>310</v>
      </c>
      <c r="F496" s="106">
        <v>1.2</v>
      </c>
      <c r="G496" s="32"/>
    </row>
    <row r="497" spans="3:7" hidden="1" x14ac:dyDescent="0.2">
      <c r="E497" t="s">
        <v>311</v>
      </c>
      <c r="F497" s="106">
        <v>1.1599999999999999</v>
      </c>
      <c r="G497" s="32"/>
    </row>
    <row r="498" spans="3:7" hidden="1" x14ac:dyDescent="0.2">
      <c r="E498" t="s">
        <v>312</v>
      </c>
      <c r="F498" s="106">
        <v>1.1499999999999999</v>
      </c>
      <c r="G498" s="32"/>
    </row>
    <row r="499" spans="3:7" hidden="1" x14ac:dyDescent="0.2">
      <c r="E499" t="s">
        <v>313</v>
      </c>
      <c r="F499" s="106">
        <v>1.1599999999999999</v>
      </c>
      <c r="G499" s="32"/>
    </row>
    <row r="500" spans="3:7" hidden="1" x14ac:dyDescent="0.2">
      <c r="C500" t="s">
        <v>36</v>
      </c>
      <c r="E500" t="s">
        <v>314</v>
      </c>
      <c r="F500" s="106">
        <v>1.17</v>
      </c>
      <c r="G500" s="32"/>
    </row>
    <row r="501" spans="3:7" hidden="1" x14ac:dyDescent="0.2">
      <c r="E501" t="s">
        <v>315</v>
      </c>
      <c r="F501" s="106">
        <v>1.21</v>
      </c>
      <c r="G501" s="32"/>
    </row>
    <row r="502" spans="3:7" hidden="1" x14ac:dyDescent="0.2">
      <c r="E502" t="s">
        <v>316</v>
      </c>
      <c r="F502" s="106">
        <v>1.2</v>
      </c>
      <c r="G502" s="32"/>
    </row>
    <row r="503" spans="3:7" hidden="1" x14ac:dyDescent="0.2">
      <c r="E503" t="s">
        <v>317</v>
      </c>
      <c r="F503" s="106">
        <v>1.1599999999999999</v>
      </c>
      <c r="G503" s="32"/>
    </row>
    <row r="504" spans="3:7" hidden="1" x14ac:dyDescent="0.2">
      <c r="E504" t="s">
        <v>318</v>
      </c>
      <c r="F504" s="106">
        <v>1.22</v>
      </c>
      <c r="G504" s="32"/>
    </row>
    <row r="505" spans="3:7" hidden="1" x14ac:dyDescent="0.2">
      <c r="E505" t="s">
        <v>319</v>
      </c>
      <c r="F505" s="106">
        <v>1.19</v>
      </c>
      <c r="G505" s="32"/>
    </row>
    <row r="506" spans="3:7" hidden="1" x14ac:dyDescent="0.2">
      <c r="E506" t="s">
        <v>320</v>
      </c>
      <c r="F506" s="106">
        <v>1.19</v>
      </c>
      <c r="G506" s="32"/>
    </row>
    <row r="507" spans="3:7" hidden="1" x14ac:dyDescent="0.2">
      <c r="E507" t="s">
        <v>321</v>
      </c>
      <c r="F507" s="106">
        <v>1.2</v>
      </c>
      <c r="G507" s="32"/>
    </row>
    <row r="508" spans="3:7" hidden="1" x14ac:dyDescent="0.2">
      <c r="E508" t="s">
        <v>322</v>
      </c>
      <c r="F508" s="106">
        <v>1.21</v>
      </c>
      <c r="G508" s="32"/>
    </row>
    <row r="509" spans="3:7" hidden="1" x14ac:dyDescent="0.2">
      <c r="E509" t="s">
        <v>323</v>
      </c>
      <c r="F509" s="106">
        <v>1.2</v>
      </c>
      <c r="G509" s="32"/>
    </row>
    <row r="510" spans="3:7" hidden="1" x14ac:dyDescent="0.2">
      <c r="E510" t="s">
        <v>324</v>
      </c>
      <c r="F510" s="106">
        <v>1.1499999999999999</v>
      </c>
      <c r="G510" s="32"/>
    </row>
    <row r="511" spans="3:7" hidden="1" x14ac:dyDescent="0.2">
      <c r="E511" t="s">
        <v>325</v>
      </c>
      <c r="F511" s="106">
        <v>1.19</v>
      </c>
      <c r="G511" s="32"/>
    </row>
    <row r="512" spans="3:7" hidden="1" x14ac:dyDescent="0.2">
      <c r="E512" t="s">
        <v>36</v>
      </c>
      <c r="F512" s="106">
        <v>1.18</v>
      </c>
      <c r="G512" s="32"/>
    </row>
    <row r="513" spans="1:7" hidden="1" x14ac:dyDescent="0.2">
      <c r="E513" t="s">
        <v>326</v>
      </c>
      <c r="F513" s="106">
        <v>1.19</v>
      </c>
      <c r="G513" s="32"/>
    </row>
    <row r="514" spans="1:7" hidden="1" x14ac:dyDescent="0.2">
      <c r="F514" s="32"/>
      <c r="G514" s="32"/>
    </row>
    <row r="515" spans="1:7" hidden="1" x14ac:dyDescent="0.2">
      <c r="F515" s="32"/>
      <c r="G515" s="32"/>
    </row>
    <row r="516" spans="1:7" hidden="1" x14ac:dyDescent="0.2">
      <c r="A516" s="11"/>
      <c r="B516" s="11"/>
      <c r="C516" s="11"/>
      <c r="D516" s="11"/>
      <c r="E516" s="11"/>
      <c r="F516" s="110"/>
      <c r="G516" s="32"/>
    </row>
    <row r="517" spans="1:7" hidden="1" x14ac:dyDescent="0.2">
      <c r="F517" s="32"/>
      <c r="G517" s="32"/>
    </row>
    <row r="518" spans="1:7" s="2" customFormat="1" ht="18.75" hidden="1" x14ac:dyDescent="0.3">
      <c r="C518" s="34"/>
      <c r="D518" s="34"/>
      <c r="E518" s="34" t="s">
        <v>38</v>
      </c>
      <c r="F518" s="34" t="s">
        <v>39</v>
      </c>
    </row>
    <row r="519" spans="1:7" s="2" customFormat="1" ht="15" hidden="1" x14ac:dyDescent="0.2">
      <c r="C519"/>
      <c r="D519"/>
      <c r="E519" t="s">
        <v>251</v>
      </c>
      <c r="F519" s="106">
        <v>1.06</v>
      </c>
    </row>
    <row r="520" spans="1:7" s="2" customFormat="1" ht="15" hidden="1" x14ac:dyDescent="0.2">
      <c r="C520"/>
      <c r="D520"/>
      <c r="E520" t="s">
        <v>40</v>
      </c>
      <c r="F520" s="104">
        <v>1.1399999999999999</v>
      </c>
    </row>
    <row r="521" spans="1:7" s="2" customFormat="1" ht="15" hidden="1" x14ac:dyDescent="0.2">
      <c r="C521"/>
      <c r="D521"/>
      <c r="E521" t="s">
        <v>134</v>
      </c>
      <c r="F521" s="104">
        <v>1.1499999999999999</v>
      </c>
    </row>
    <row r="522" spans="1:7" s="2" customFormat="1" ht="15" hidden="1" x14ac:dyDescent="0.2">
      <c r="C522"/>
      <c r="D522"/>
      <c r="E522" t="s">
        <v>121</v>
      </c>
      <c r="F522" s="104">
        <v>1.07</v>
      </c>
    </row>
    <row r="523" spans="1:7" s="2" customFormat="1" ht="15" hidden="1" x14ac:dyDescent="0.2">
      <c r="C523"/>
      <c r="D523"/>
      <c r="E523" t="s">
        <v>41</v>
      </c>
      <c r="F523" s="104">
        <v>1.1499999999999999</v>
      </c>
    </row>
    <row r="524" spans="1:7" s="2" customFormat="1" ht="15" hidden="1" x14ac:dyDescent="0.2">
      <c r="C524"/>
      <c r="D524"/>
      <c r="E524" t="s">
        <v>147</v>
      </c>
      <c r="F524" s="106">
        <v>1.08</v>
      </c>
    </row>
    <row r="525" spans="1:7" hidden="1" x14ac:dyDescent="0.2">
      <c r="E525" t="s">
        <v>270</v>
      </c>
      <c r="F525" s="106">
        <v>1.03</v>
      </c>
      <c r="G525" s="32"/>
    </row>
    <row r="526" spans="1:7" s="2" customFormat="1" ht="15" hidden="1" x14ac:dyDescent="0.2">
      <c r="C526"/>
      <c r="D526"/>
      <c r="E526" t="s">
        <v>252</v>
      </c>
      <c r="F526" s="106">
        <v>1.07</v>
      </c>
    </row>
    <row r="527" spans="1:7" s="2" customFormat="1" ht="15" hidden="1" x14ac:dyDescent="0.2">
      <c r="C527"/>
      <c r="D527"/>
      <c r="E527" t="s">
        <v>190</v>
      </c>
      <c r="F527" s="106">
        <v>1.08</v>
      </c>
    </row>
    <row r="528" spans="1:7" hidden="1" x14ac:dyDescent="0.2">
      <c r="E528" t="s">
        <v>271</v>
      </c>
      <c r="F528" s="106">
        <v>1.03</v>
      </c>
      <c r="G528" s="32"/>
    </row>
    <row r="529" spans="3:7" s="2" customFormat="1" ht="15" hidden="1" x14ac:dyDescent="0.2">
      <c r="C529"/>
      <c r="D529"/>
      <c r="E529" t="s">
        <v>148</v>
      </c>
      <c r="F529" s="106">
        <v>1.07</v>
      </c>
    </row>
    <row r="530" spans="3:7" s="2" customFormat="1" ht="15" hidden="1" x14ac:dyDescent="0.2">
      <c r="C530"/>
      <c r="D530"/>
      <c r="E530" t="s">
        <v>205</v>
      </c>
      <c r="F530" s="106">
        <v>1.05</v>
      </c>
    </row>
    <row r="531" spans="3:7" s="2" customFormat="1" ht="15" hidden="1" x14ac:dyDescent="0.2">
      <c r="C531"/>
      <c r="D531"/>
      <c r="E531" t="s">
        <v>84</v>
      </c>
      <c r="F531" s="104">
        <v>1.17</v>
      </c>
    </row>
    <row r="532" spans="3:7" hidden="1" x14ac:dyDescent="0.2">
      <c r="E532" t="s">
        <v>291</v>
      </c>
      <c r="F532" s="106">
        <v>1.23</v>
      </c>
      <c r="G532" s="32"/>
    </row>
    <row r="533" spans="3:7" s="2" customFormat="1" ht="15" hidden="1" x14ac:dyDescent="0.2">
      <c r="C533"/>
      <c r="D533"/>
      <c r="E533" t="s">
        <v>149</v>
      </c>
      <c r="F533" s="106">
        <v>1.07</v>
      </c>
    </row>
    <row r="534" spans="3:7" s="2" customFormat="1" ht="15" hidden="1" x14ac:dyDescent="0.2">
      <c r="C534"/>
      <c r="D534"/>
      <c r="E534" t="s">
        <v>58</v>
      </c>
      <c r="F534" s="104">
        <v>1.05</v>
      </c>
    </row>
    <row r="535" spans="3:7" hidden="1" x14ac:dyDescent="0.2">
      <c r="E535" t="s">
        <v>272</v>
      </c>
      <c r="F535" s="106">
        <v>1.01</v>
      </c>
      <c r="G535" s="32"/>
    </row>
    <row r="536" spans="3:7" s="2" customFormat="1" ht="15" hidden="1" x14ac:dyDescent="0.2">
      <c r="C536"/>
      <c r="D536"/>
      <c r="E536" t="s">
        <v>135</v>
      </c>
      <c r="F536" s="104">
        <v>1.1200000000000001</v>
      </c>
    </row>
    <row r="537" spans="3:7" s="2" customFormat="1" ht="15" hidden="1" x14ac:dyDescent="0.2">
      <c r="C537"/>
      <c r="D537"/>
      <c r="E537" t="s">
        <v>253</v>
      </c>
      <c r="F537" s="106">
        <v>1.05</v>
      </c>
    </row>
    <row r="538" spans="3:7" s="2" customFormat="1" ht="15" hidden="1" x14ac:dyDescent="0.2">
      <c r="C538"/>
      <c r="D538"/>
      <c r="E538" t="s">
        <v>59</v>
      </c>
      <c r="F538" s="104">
        <v>1.07</v>
      </c>
    </row>
    <row r="539" spans="3:7" s="2" customFormat="1" ht="15" hidden="1" x14ac:dyDescent="0.2">
      <c r="C539"/>
      <c r="D539"/>
      <c r="E539" t="s">
        <v>254</v>
      </c>
      <c r="F539" s="106">
        <v>1.06</v>
      </c>
    </row>
    <row r="540" spans="3:7" s="2" customFormat="1" ht="15" hidden="1" x14ac:dyDescent="0.2">
      <c r="C540"/>
      <c r="D540"/>
      <c r="E540" t="s">
        <v>220</v>
      </c>
      <c r="F540" s="106">
        <v>1.06</v>
      </c>
    </row>
    <row r="541" spans="3:7" s="2" customFormat="1" ht="15" hidden="1" x14ac:dyDescent="0.2">
      <c r="C541"/>
      <c r="D541"/>
      <c r="E541" t="s">
        <v>191</v>
      </c>
      <c r="F541" s="106">
        <v>1.1100000000000001</v>
      </c>
    </row>
    <row r="542" spans="3:7" s="2" customFormat="1" ht="15" hidden="1" x14ac:dyDescent="0.2">
      <c r="C542"/>
      <c r="D542"/>
      <c r="E542" t="s">
        <v>60</v>
      </c>
      <c r="F542" s="104">
        <v>1.04</v>
      </c>
    </row>
    <row r="543" spans="3:7" s="2" customFormat="1" ht="15" hidden="1" x14ac:dyDescent="0.2">
      <c r="C543"/>
      <c r="D543"/>
      <c r="E543" t="s">
        <v>206</v>
      </c>
      <c r="F543" s="106">
        <v>1.03</v>
      </c>
    </row>
    <row r="544" spans="3:7" s="2" customFormat="1" ht="15" hidden="1" x14ac:dyDescent="0.2">
      <c r="C544"/>
      <c r="D544"/>
      <c r="E544" t="s">
        <v>234</v>
      </c>
      <c r="F544" s="106">
        <v>1.19</v>
      </c>
    </row>
    <row r="545" spans="3:7" s="2" customFormat="1" ht="15" hidden="1" x14ac:dyDescent="0.2">
      <c r="C545"/>
      <c r="D545"/>
      <c r="E545" t="s">
        <v>71</v>
      </c>
      <c r="F545" s="104">
        <v>1.23</v>
      </c>
    </row>
    <row r="546" spans="3:7" s="2" customFormat="1" ht="15" hidden="1" x14ac:dyDescent="0.2">
      <c r="C546"/>
      <c r="D546"/>
      <c r="E546" t="s">
        <v>42</v>
      </c>
      <c r="F546" s="104">
        <v>1.1299999999999999</v>
      </c>
    </row>
    <row r="547" spans="3:7" s="2" customFormat="1" ht="15" hidden="1" x14ac:dyDescent="0.2">
      <c r="C547"/>
      <c r="D547"/>
      <c r="E547" t="s">
        <v>348</v>
      </c>
      <c r="F547" s="104">
        <v>1.28</v>
      </c>
    </row>
    <row r="548" spans="3:7" s="2" customFormat="1" ht="15" hidden="1" x14ac:dyDescent="0.2">
      <c r="C548"/>
      <c r="D548"/>
      <c r="E548" t="s">
        <v>192</v>
      </c>
      <c r="F548" s="106">
        <v>1.1200000000000001</v>
      </c>
    </row>
    <row r="549" spans="3:7" hidden="1" x14ac:dyDescent="0.2">
      <c r="E549" t="s">
        <v>282</v>
      </c>
      <c r="F549" s="106">
        <v>1.26</v>
      </c>
      <c r="G549" s="32"/>
    </row>
    <row r="550" spans="3:7" s="2" customFormat="1" ht="15" hidden="1" x14ac:dyDescent="0.2">
      <c r="C550"/>
      <c r="D550"/>
      <c r="E550" t="s">
        <v>105</v>
      </c>
      <c r="F550" s="106">
        <v>1.1000000000000001</v>
      </c>
    </row>
    <row r="551" spans="3:7" hidden="1" x14ac:dyDescent="0.2">
      <c r="E551" t="s">
        <v>304</v>
      </c>
      <c r="F551" s="106">
        <v>1.21</v>
      </c>
      <c r="G551" s="32"/>
    </row>
    <row r="552" spans="3:7" s="2" customFormat="1" ht="15" hidden="1" x14ac:dyDescent="0.2">
      <c r="C552"/>
      <c r="D552"/>
      <c r="E552" t="s">
        <v>122</v>
      </c>
      <c r="F552" s="104">
        <v>1.05</v>
      </c>
    </row>
    <row r="553" spans="3:7" s="2" customFormat="1" ht="15" hidden="1" x14ac:dyDescent="0.2">
      <c r="C553"/>
      <c r="D553"/>
      <c r="E553" t="s">
        <v>221</v>
      </c>
      <c r="F553" s="106">
        <v>1.08</v>
      </c>
    </row>
    <row r="554" spans="3:7" s="2" customFormat="1" ht="15" hidden="1" x14ac:dyDescent="0.2">
      <c r="C554"/>
      <c r="D554"/>
      <c r="E554" t="s">
        <v>207</v>
      </c>
      <c r="F554" s="106">
        <v>1.04</v>
      </c>
    </row>
    <row r="555" spans="3:7" s="2" customFormat="1" ht="15" hidden="1" x14ac:dyDescent="0.2">
      <c r="C555"/>
      <c r="D555"/>
      <c r="E555" t="s">
        <v>43</v>
      </c>
      <c r="F555" s="104">
        <v>1.17</v>
      </c>
    </row>
    <row r="556" spans="3:7" s="2" customFormat="1" ht="15" hidden="1" x14ac:dyDescent="0.2">
      <c r="C556"/>
      <c r="D556"/>
      <c r="E556" t="s">
        <v>7</v>
      </c>
      <c r="F556" s="104">
        <v>1.1399999999999999</v>
      </c>
    </row>
    <row r="557" spans="3:7" s="2" customFormat="1" ht="15" hidden="1" x14ac:dyDescent="0.2">
      <c r="C557"/>
      <c r="D557"/>
      <c r="E557" t="s">
        <v>222</v>
      </c>
      <c r="F557" s="106">
        <v>1.06</v>
      </c>
    </row>
    <row r="558" spans="3:7" s="2" customFormat="1" ht="15" hidden="1" x14ac:dyDescent="0.2">
      <c r="C558"/>
      <c r="D558"/>
      <c r="E558" t="s">
        <v>208</v>
      </c>
      <c r="F558" s="106">
        <v>1.05</v>
      </c>
    </row>
    <row r="559" spans="3:7" s="2" customFormat="1" ht="15" hidden="1" x14ac:dyDescent="0.2">
      <c r="C559"/>
      <c r="D559"/>
      <c r="E559" t="s">
        <v>235</v>
      </c>
      <c r="F559" s="106">
        <v>1.19</v>
      </c>
    </row>
    <row r="560" spans="3:7" s="2" customFormat="1" ht="15" hidden="1" x14ac:dyDescent="0.2">
      <c r="C560"/>
      <c r="D560"/>
      <c r="E560" t="s">
        <v>72</v>
      </c>
      <c r="F560" s="104">
        <v>1.23</v>
      </c>
    </row>
    <row r="561" spans="3:7" s="2" customFormat="1" ht="15" hidden="1" x14ac:dyDescent="0.2">
      <c r="C561"/>
      <c r="D561"/>
      <c r="E561" t="s">
        <v>61</v>
      </c>
      <c r="F561" s="104">
        <v>1.07</v>
      </c>
    </row>
    <row r="562" spans="3:7" hidden="1" x14ac:dyDescent="0.2">
      <c r="E562" t="s">
        <v>273</v>
      </c>
      <c r="F562" s="106">
        <v>1.01</v>
      </c>
      <c r="G562" s="32"/>
    </row>
    <row r="563" spans="3:7" s="2" customFormat="1" ht="15" hidden="1" x14ac:dyDescent="0.2">
      <c r="C563"/>
      <c r="D563"/>
      <c r="E563" t="s">
        <v>193</v>
      </c>
      <c r="F563" s="106">
        <v>1.1000000000000001</v>
      </c>
    </row>
    <row r="564" spans="3:7" s="2" customFormat="1" ht="15" hidden="1" x14ac:dyDescent="0.2">
      <c r="C564"/>
      <c r="D564"/>
      <c r="E564" t="s">
        <v>8</v>
      </c>
      <c r="F564" s="104">
        <v>1.05</v>
      </c>
    </row>
    <row r="565" spans="3:7" s="2" customFormat="1" ht="15" hidden="1" x14ac:dyDescent="0.2">
      <c r="C565"/>
      <c r="D565"/>
      <c r="E565" t="s">
        <v>95</v>
      </c>
      <c r="F565" s="106">
        <v>1.1100000000000001</v>
      </c>
    </row>
    <row r="566" spans="3:7" s="2" customFormat="1" ht="15" hidden="1" x14ac:dyDescent="0.2">
      <c r="C566"/>
      <c r="D566"/>
      <c r="E566" t="s">
        <v>255</v>
      </c>
      <c r="F566" s="106">
        <v>1.03</v>
      </c>
    </row>
    <row r="567" spans="3:7" s="2" customFormat="1" ht="15" hidden="1" x14ac:dyDescent="0.2">
      <c r="C567"/>
      <c r="D567"/>
      <c r="E567" t="s">
        <v>194</v>
      </c>
      <c r="F567" s="106">
        <v>1.07</v>
      </c>
    </row>
    <row r="568" spans="3:7" s="2" customFormat="1" ht="15" hidden="1" x14ac:dyDescent="0.2">
      <c r="C568"/>
      <c r="D568"/>
      <c r="E568" t="s">
        <v>123</v>
      </c>
      <c r="F568" s="104">
        <v>1.07</v>
      </c>
    </row>
    <row r="569" spans="3:7" hidden="1" x14ac:dyDescent="0.2">
      <c r="E569" t="s">
        <v>292</v>
      </c>
      <c r="F569" s="106">
        <v>1.24</v>
      </c>
      <c r="G569" s="32"/>
    </row>
    <row r="570" spans="3:7" s="2" customFormat="1" ht="15" hidden="1" x14ac:dyDescent="0.2">
      <c r="C570"/>
      <c r="D570"/>
      <c r="E570" t="s">
        <v>9</v>
      </c>
      <c r="F570" s="104">
        <v>1.22</v>
      </c>
    </row>
    <row r="571" spans="3:7" s="2" customFormat="1" ht="15" hidden="1" x14ac:dyDescent="0.2">
      <c r="C571"/>
      <c r="D571"/>
      <c r="E571" t="s">
        <v>10</v>
      </c>
      <c r="F571" s="104">
        <v>1.19</v>
      </c>
    </row>
    <row r="572" spans="3:7" s="2" customFormat="1" ht="15" hidden="1" x14ac:dyDescent="0.2">
      <c r="C572"/>
      <c r="D572"/>
      <c r="E572" t="s">
        <v>73</v>
      </c>
      <c r="F572" s="104">
        <v>1.23</v>
      </c>
    </row>
    <row r="573" spans="3:7" s="2" customFormat="1" ht="15" hidden="1" x14ac:dyDescent="0.2">
      <c r="C573"/>
      <c r="D573"/>
      <c r="E573" t="s">
        <v>209</v>
      </c>
      <c r="F573" s="106">
        <v>1.06</v>
      </c>
    </row>
    <row r="574" spans="3:7" s="2" customFormat="1" ht="15" hidden="1" x14ac:dyDescent="0.2">
      <c r="C574"/>
      <c r="D574"/>
      <c r="E574" t="s">
        <v>195</v>
      </c>
      <c r="F574" s="106">
        <v>1.07</v>
      </c>
    </row>
    <row r="575" spans="3:7" s="2" customFormat="1" ht="15" hidden="1" x14ac:dyDescent="0.2">
      <c r="C575"/>
      <c r="D575"/>
      <c r="E575" t="s">
        <v>346</v>
      </c>
      <c r="F575" s="106">
        <v>1.32</v>
      </c>
    </row>
    <row r="576" spans="3:7" s="2" customFormat="1" ht="15" hidden="1" x14ac:dyDescent="0.2">
      <c r="C576"/>
      <c r="D576"/>
      <c r="E576" t="s">
        <v>347</v>
      </c>
      <c r="F576" s="106">
        <v>1.31</v>
      </c>
    </row>
    <row r="577" spans="3:7" s="2" customFormat="1" ht="15" hidden="1" x14ac:dyDescent="0.2">
      <c r="C577"/>
      <c r="D577"/>
      <c r="E577" t="s">
        <v>163</v>
      </c>
      <c r="F577" s="106">
        <v>1.29</v>
      </c>
    </row>
    <row r="578" spans="3:7" hidden="1" x14ac:dyDescent="0.2">
      <c r="E578" t="s">
        <v>283</v>
      </c>
      <c r="F578" s="106">
        <v>1.25</v>
      </c>
      <c r="G578" s="32"/>
    </row>
    <row r="579" spans="3:7" s="2" customFormat="1" ht="15" hidden="1" x14ac:dyDescent="0.2">
      <c r="C579"/>
      <c r="D579"/>
      <c r="E579" t="s">
        <v>223</v>
      </c>
      <c r="F579" s="106">
        <v>1.0900000000000001</v>
      </c>
    </row>
    <row r="580" spans="3:7" s="2" customFormat="1" ht="15" hidden="1" x14ac:dyDescent="0.2">
      <c r="C580"/>
      <c r="D580"/>
      <c r="E580" t="s">
        <v>85</v>
      </c>
      <c r="F580" s="104">
        <v>1.1599999999999999</v>
      </c>
    </row>
    <row r="581" spans="3:7" hidden="1" x14ac:dyDescent="0.2">
      <c r="E581" t="s">
        <v>305</v>
      </c>
      <c r="F581" s="106">
        <v>1.1399999999999999</v>
      </c>
      <c r="G581" s="32"/>
    </row>
    <row r="582" spans="3:7" s="2" customFormat="1" ht="15" hidden="1" x14ac:dyDescent="0.2">
      <c r="C582"/>
      <c r="D582"/>
      <c r="E582" t="s">
        <v>256</v>
      </c>
      <c r="F582" s="106">
        <v>1.05</v>
      </c>
    </row>
    <row r="583" spans="3:7" s="2" customFormat="1" ht="15" hidden="1" x14ac:dyDescent="0.2">
      <c r="C583"/>
      <c r="D583"/>
      <c r="E583" t="s">
        <v>210</v>
      </c>
      <c r="F583" s="106">
        <v>1.04</v>
      </c>
    </row>
    <row r="584" spans="3:7" s="2" customFormat="1" ht="15" hidden="1" x14ac:dyDescent="0.2">
      <c r="C584"/>
      <c r="D584"/>
      <c r="E584" t="s">
        <v>106</v>
      </c>
      <c r="F584" s="106">
        <v>1.1200000000000001</v>
      </c>
    </row>
    <row r="585" spans="3:7" s="2" customFormat="1" ht="15" hidden="1" x14ac:dyDescent="0.2">
      <c r="C585"/>
      <c r="D585"/>
      <c r="E585" t="s">
        <v>196</v>
      </c>
      <c r="F585" s="106">
        <v>1.1399999999999999</v>
      </c>
    </row>
    <row r="586" spans="3:7" s="2" customFormat="1" ht="15" hidden="1" x14ac:dyDescent="0.2">
      <c r="C586"/>
      <c r="D586"/>
      <c r="E586" t="s">
        <v>11</v>
      </c>
      <c r="F586" s="106">
        <v>1.0900000000000001</v>
      </c>
    </row>
    <row r="587" spans="3:7" s="2" customFormat="1" ht="15" hidden="1" x14ac:dyDescent="0.2">
      <c r="C587"/>
      <c r="D587"/>
      <c r="E587" t="s">
        <v>44</v>
      </c>
      <c r="F587" s="104">
        <v>1.18</v>
      </c>
    </row>
    <row r="588" spans="3:7" s="2" customFormat="1" ht="15" hidden="1" x14ac:dyDescent="0.2">
      <c r="C588"/>
      <c r="D588"/>
      <c r="E588" t="s">
        <v>224</v>
      </c>
      <c r="F588" s="106">
        <v>1.07</v>
      </c>
    </row>
    <row r="589" spans="3:7" hidden="1" x14ac:dyDescent="0.2">
      <c r="E589" t="s">
        <v>306</v>
      </c>
      <c r="F589" s="106">
        <v>1.19</v>
      </c>
      <c r="G589" s="32"/>
    </row>
    <row r="590" spans="3:7" s="2" customFormat="1" ht="15" hidden="1" x14ac:dyDescent="0.2">
      <c r="C590"/>
      <c r="D590"/>
      <c r="E590" t="s">
        <v>150</v>
      </c>
      <c r="F590" s="106">
        <v>1.08</v>
      </c>
    </row>
    <row r="591" spans="3:7" s="2" customFormat="1" ht="15" hidden="1" x14ac:dyDescent="0.2">
      <c r="C591"/>
      <c r="D591"/>
      <c r="E591" t="s">
        <v>62</v>
      </c>
      <c r="F591" s="104">
        <v>1.06</v>
      </c>
    </row>
    <row r="592" spans="3:7" s="2" customFormat="1" ht="15" hidden="1" x14ac:dyDescent="0.2">
      <c r="C592"/>
      <c r="D592"/>
      <c r="E592" t="s">
        <v>136</v>
      </c>
      <c r="F592" s="104">
        <v>1.1299999999999999</v>
      </c>
    </row>
    <row r="593" spans="3:7" s="2" customFormat="1" ht="15" hidden="1" x14ac:dyDescent="0.2">
      <c r="C593"/>
      <c r="D593"/>
      <c r="E593" t="s">
        <v>74</v>
      </c>
      <c r="F593" s="104">
        <v>1.21</v>
      </c>
    </row>
    <row r="594" spans="3:7" s="2" customFormat="1" ht="15" hidden="1" x14ac:dyDescent="0.2">
      <c r="C594"/>
      <c r="D594"/>
      <c r="E594" t="s">
        <v>257</v>
      </c>
      <c r="F594" s="106">
        <v>1.05</v>
      </c>
    </row>
    <row r="595" spans="3:7" hidden="1" x14ac:dyDescent="0.2">
      <c r="E595" t="s">
        <v>293</v>
      </c>
      <c r="F595" s="106">
        <v>1.24</v>
      </c>
      <c r="G595" s="32"/>
    </row>
    <row r="596" spans="3:7" hidden="1" x14ac:dyDescent="0.2">
      <c r="E596" t="s">
        <v>307</v>
      </c>
      <c r="F596" s="106">
        <v>1.2</v>
      </c>
      <c r="G596" s="32"/>
    </row>
    <row r="597" spans="3:7" s="2" customFormat="1" ht="15" hidden="1" x14ac:dyDescent="0.2">
      <c r="C597"/>
      <c r="D597"/>
      <c r="E597" t="s">
        <v>12</v>
      </c>
      <c r="F597" s="106">
        <v>1.1399999999999999</v>
      </c>
    </row>
    <row r="598" spans="3:7" s="2" customFormat="1" ht="15" hidden="1" x14ac:dyDescent="0.2">
      <c r="C598"/>
      <c r="D598"/>
      <c r="E598" t="s">
        <v>107</v>
      </c>
      <c r="F598" s="106">
        <v>1.1200000000000001</v>
      </c>
    </row>
    <row r="599" spans="3:7" s="2" customFormat="1" ht="15" hidden="1" x14ac:dyDescent="0.2">
      <c r="C599"/>
      <c r="D599"/>
      <c r="E599" t="s">
        <v>258</v>
      </c>
      <c r="F599" s="106">
        <v>1.06</v>
      </c>
    </row>
    <row r="600" spans="3:7" s="2" customFormat="1" ht="15" hidden="1" x14ac:dyDescent="0.2">
      <c r="C600"/>
      <c r="D600"/>
      <c r="E600" t="s">
        <v>259</v>
      </c>
      <c r="F600" s="106">
        <v>1.04</v>
      </c>
    </row>
    <row r="601" spans="3:7" s="2" customFormat="1" ht="15" hidden="1" x14ac:dyDescent="0.2">
      <c r="C601"/>
      <c r="D601"/>
      <c r="E601" t="s">
        <v>183</v>
      </c>
      <c r="F601" s="106">
        <v>1.37</v>
      </c>
    </row>
    <row r="602" spans="3:7" s="2" customFormat="1" ht="15" hidden="1" x14ac:dyDescent="0.2">
      <c r="C602"/>
      <c r="D602"/>
      <c r="E602" t="s">
        <v>96</v>
      </c>
      <c r="F602" s="106">
        <v>1.1100000000000001</v>
      </c>
    </row>
    <row r="603" spans="3:7" s="2" customFormat="1" ht="15" hidden="1" x14ac:dyDescent="0.2">
      <c r="C603"/>
      <c r="D603"/>
      <c r="E603" t="s">
        <v>225</v>
      </c>
      <c r="F603" s="106">
        <v>1.06</v>
      </c>
    </row>
    <row r="604" spans="3:7" s="2" customFormat="1" ht="15" hidden="1" x14ac:dyDescent="0.2">
      <c r="C604"/>
      <c r="D604"/>
      <c r="E604" t="s">
        <v>63</v>
      </c>
      <c r="F604" s="104">
        <v>1.05</v>
      </c>
    </row>
    <row r="605" spans="3:7" s="2" customFormat="1" ht="15" hidden="1" x14ac:dyDescent="0.2">
      <c r="C605"/>
      <c r="D605"/>
      <c r="E605" t="s">
        <v>226</v>
      </c>
      <c r="F605" s="106">
        <v>1.08</v>
      </c>
    </row>
    <row r="606" spans="3:7" s="2" customFormat="1" ht="15" hidden="1" x14ac:dyDescent="0.2">
      <c r="C606"/>
      <c r="D606"/>
      <c r="E606" t="s">
        <v>260</v>
      </c>
      <c r="F606" s="106">
        <v>1.07</v>
      </c>
    </row>
    <row r="607" spans="3:7" s="2" customFormat="1" ht="15" hidden="1" x14ac:dyDescent="0.2">
      <c r="C607"/>
      <c r="D607"/>
      <c r="E607" t="s">
        <v>45</v>
      </c>
      <c r="F607" s="104">
        <v>1.18</v>
      </c>
    </row>
    <row r="608" spans="3:7" s="2" customFormat="1" ht="15" hidden="1" x14ac:dyDescent="0.2">
      <c r="C608"/>
      <c r="D608"/>
      <c r="E608" t="s">
        <v>75</v>
      </c>
      <c r="F608" s="104">
        <v>1.24</v>
      </c>
    </row>
    <row r="609" spans="3:6" s="2" customFormat="1" ht="15" hidden="1" x14ac:dyDescent="0.2">
      <c r="C609"/>
      <c r="D609"/>
      <c r="E609" t="s">
        <v>46</v>
      </c>
      <c r="F609" s="104">
        <v>1.1599999999999999</v>
      </c>
    </row>
    <row r="610" spans="3:6" s="2" customFormat="1" ht="15" hidden="1" x14ac:dyDescent="0.2">
      <c r="C610"/>
      <c r="D610"/>
      <c r="E610" t="s">
        <v>124</v>
      </c>
      <c r="F610" s="104">
        <v>1.06</v>
      </c>
    </row>
    <row r="611" spans="3:6" s="2" customFormat="1" ht="15" hidden="1" x14ac:dyDescent="0.2">
      <c r="C611"/>
      <c r="D611"/>
      <c r="E611" t="s">
        <v>13</v>
      </c>
      <c r="F611" s="104">
        <v>1.05</v>
      </c>
    </row>
    <row r="612" spans="3:6" s="2" customFormat="1" ht="15" hidden="1" x14ac:dyDescent="0.2">
      <c r="C612"/>
      <c r="D612"/>
      <c r="E612" t="s">
        <v>76</v>
      </c>
      <c r="F612" s="104">
        <v>1.22</v>
      </c>
    </row>
    <row r="613" spans="3:6" s="2" customFormat="1" ht="15" hidden="1" x14ac:dyDescent="0.2">
      <c r="C613"/>
      <c r="D613"/>
      <c r="E613" t="s">
        <v>15</v>
      </c>
      <c r="F613" s="106">
        <v>1.0900000000000001</v>
      </c>
    </row>
    <row r="614" spans="3:6" s="2" customFormat="1" ht="15" hidden="1" x14ac:dyDescent="0.2">
      <c r="C614"/>
      <c r="D614"/>
      <c r="E614" t="s">
        <v>236</v>
      </c>
      <c r="F614" s="106">
        <v>1.22</v>
      </c>
    </row>
    <row r="615" spans="3:6" s="2" customFormat="1" ht="15" hidden="1" x14ac:dyDescent="0.2">
      <c r="C615"/>
      <c r="D615"/>
      <c r="E615" t="s">
        <v>64</v>
      </c>
      <c r="F615" s="104">
        <v>1.04</v>
      </c>
    </row>
    <row r="616" spans="3:6" s="2" customFormat="1" ht="15" hidden="1" x14ac:dyDescent="0.2">
      <c r="C616"/>
      <c r="D616"/>
      <c r="E616" t="s">
        <v>261</v>
      </c>
      <c r="F616" s="106">
        <v>1.08</v>
      </c>
    </row>
    <row r="617" spans="3:6" s="2" customFormat="1" ht="15" hidden="1" x14ac:dyDescent="0.2">
      <c r="C617"/>
      <c r="D617"/>
      <c r="E617" t="s">
        <v>108</v>
      </c>
      <c r="F617" s="106">
        <v>1.1100000000000001</v>
      </c>
    </row>
    <row r="618" spans="3:6" s="2" customFormat="1" ht="15" hidden="1" x14ac:dyDescent="0.2">
      <c r="C618"/>
      <c r="D618"/>
      <c r="E618" t="s">
        <v>137</v>
      </c>
      <c r="F618" s="104">
        <v>1.1399999999999999</v>
      </c>
    </row>
    <row r="619" spans="3:6" s="2" customFormat="1" ht="15" hidden="1" x14ac:dyDescent="0.2">
      <c r="C619"/>
      <c r="D619"/>
      <c r="E619" t="s">
        <v>197</v>
      </c>
      <c r="F619" s="106">
        <v>1.1299999999999999</v>
      </c>
    </row>
    <row r="620" spans="3:6" s="2" customFormat="1" ht="15" hidden="1" x14ac:dyDescent="0.2">
      <c r="C620"/>
      <c r="D620"/>
      <c r="E620" t="s">
        <v>138</v>
      </c>
      <c r="F620" s="104">
        <v>1.1399999999999999</v>
      </c>
    </row>
    <row r="621" spans="3:6" s="2" customFormat="1" ht="15" hidden="1" x14ac:dyDescent="0.2">
      <c r="C621"/>
      <c r="D621"/>
      <c r="E621" t="s">
        <v>86</v>
      </c>
      <c r="F621" s="104">
        <v>1.17</v>
      </c>
    </row>
    <row r="622" spans="3:6" s="2" customFormat="1" ht="15" hidden="1" x14ac:dyDescent="0.2">
      <c r="C622"/>
      <c r="D622"/>
      <c r="E622" t="s">
        <v>227</v>
      </c>
      <c r="F622" s="106">
        <v>1.07</v>
      </c>
    </row>
    <row r="623" spans="3:6" s="2" customFormat="1" ht="15" hidden="1" x14ac:dyDescent="0.2">
      <c r="C623"/>
      <c r="D623"/>
      <c r="E623" t="s">
        <v>164</v>
      </c>
      <c r="F623" s="106">
        <v>1.28</v>
      </c>
    </row>
    <row r="624" spans="3:6" s="2" customFormat="1" ht="15" hidden="1" x14ac:dyDescent="0.2">
      <c r="C624"/>
      <c r="D624"/>
      <c r="E624" t="s">
        <v>97</v>
      </c>
      <c r="F624" s="106">
        <v>1.1000000000000001</v>
      </c>
    </row>
    <row r="625" spans="3:7" s="2" customFormat="1" ht="15" hidden="1" x14ac:dyDescent="0.2">
      <c r="C625"/>
      <c r="D625"/>
      <c r="E625" t="s">
        <v>228</v>
      </c>
      <c r="F625" s="106">
        <v>1.06</v>
      </c>
    </row>
    <row r="626" spans="3:7" s="2" customFormat="1" ht="15" hidden="1" x14ac:dyDescent="0.2">
      <c r="C626"/>
      <c r="D626"/>
      <c r="E626" t="s">
        <v>109</v>
      </c>
      <c r="F626" s="106">
        <v>1.1000000000000001</v>
      </c>
    </row>
    <row r="627" spans="3:7" s="2" customFormat="1" ht="15" hidden="1" x14ac:dyDescent="0.2">
      <c r="C627"/>
      <c r="D627"/>
      <c r="E627" t="s">
        <v>351</v>
      </c>
      <c r="F627" s="106">
        <v>1.07</v>
      </c>
    </row>
    <row r="628" spans="3:7" s="2" customFormat="1" ht="15" hidden="1" x14ac:dyDescent="0.2">
      <c r="C628"/>
      <c r="D628"/>
      <c r="E628" t="s">
        <v>349</v>
      </c>
      <c r="F628" s="106">
        <v>1.19</v>
      </c>
    </row>
    <row r="629" spans="3:7" s="2" customFormat="1" ht="15" hidden="1" x14ac:dyDescent="0.2">
      <c r="C629"/>
      <c r="D629"/>
      <c r="E629" t="s">
        <v>139</v>
      </c>
      <c r="F629" s="104">
        <v>1.1299999999999999</v>
      </c>
    </row>
    <row r="630" spans="3:7" hidden="1" x14ac:dyDescent="0.2">
      <c r="E630" t="s">
        <v>274</v>
      </c>
      <c r="F630" s="106">
        <v>1.04</v>
      </c>
      <c r="G630" s="32"/>
    </row>
    <row r="631" spans="3:7" s="2" customFormat="1" ht="15" hidden="1" x14ac:dyDescent="0.2">
      <c r="C631"/>
      <c r="D631"/>
      <c r="E631" t="s">
        <v>14</v>
      </c>
      <c r="F631" s="104">
        <v>1.1200000000000001</v>
      </c>
    </row>
    <row r="632" spans="3:7" s="2" customFormat="1" ht="15" hidden="1" x14ac:dyDescent="0.2">
      <c r="C632"/>
      <c r="D632"/>
      <c r="E632" t="s">
        <v>77</v>
      </c>
      <c r="F632" s="104">
        <v>1.22</v>
      </c>
    </row>
    <row r="633" spans="3:7" s="2" customFormat="1" ht="15" hidden="1" x14ac:dyDescent="0.2">
      <c r="C633"/>
      <c r="D633"/>
      <c r="E633" t="s">
        <v>184</v>
      </c>
      <c r="F633" s="106">
        <v>1.31</v>
      </c>
    </row>
    <row r="634" spans="3:7" s="2" customFormat="1" ht="15" hidden="1" x14ac:dyDescent="0.2">
      <c r="C634"/>
      <c r="D634"/>
      <c r="E634" t="s">
        <v>98</v>
      </c>
      <c r="F634" s="106">
        <v>1.1000000000000001</v>
      </c>
    </row>
    <row r="635" spans="3:7" s="2" customFormat="1" ht="15" hidden="1" x14ac:dyDescent="0.2">
      <c r="C635"/>
      <c r="D635"/>
      <c r="E635" t="s">
        <v>47</v>
      </c>
      <c r="F635" s="104">
        <v>1.1399999999999999</v>
      </c>
    </row>
    <row r="636" spans="3:7" s="2" customFormat="1" ht="15" hidden="1" x14ac:dyDescent="0.2">
      <c r="C636"/>
      <c r="D636"/>
      <c r="E636" t="s">
        <v>344</v>
      </c>
      <c r="F636" s="106">
        <v>1.08</v>
      </c>
    </row>
    <row r="637" spans="3:7" s="2" customFormat="1" ht="15" hidden="1" x14ac:dyDescent="0.2">
      <c r="C637"/>
      <c r="D637"/>
      <c r="E637" t="s">
        <v>345</v>
      </c>
      <c r="F637" s="106">
        <v>1.29</v>
      </c>
    </row>
    <row r="638" spans="3:7" s="2" customFormat="1" ht="15" hidden="1" x14ac:dyDescent="0.2">
      <c r="C638"/>
      <c r="D638"/>
      <c r="E638" t="s">
        <v>172</v>
      </c>
      <c r="F638" s="106">
        <v>1.36</v>
      </c>
    </row>
    <row r="639" spans="3:7" s="2" customFormat="1" ht="15" hidden="1" x14ac:dyDescent="0.2">
      <c r="C639"/>
      <c r="D639"/>
      <c r="E639" t="s">
        <v>185</v>
      </c>
      <c r="F639" s="106">
        <v>1.3</v>
      </c>
    </row>
    <row r="640" spans="3:7" hidden="1" x14ac:dyDescent="0.2">
      <c r="E640" t="s">
        <v>308</v>
      </c>
      <c r="F640" s="106">
        <v>1.2</v>
      </c>
      <c r="G640" s="32"/>
    </row>
    <row r="641" spans="3:7" s="2" customFormat="1" ht="15" hidden="1" x14ac:dyDescent="0.2">
      <c r="C641"/>
      <c r="D641"/>
      <c r="E641" t="s">
        <v>28</v>
      </c>
      <c r="F641" s="106">
        <v>1.0900000000000001</v>
      </c>
    </row>
    <row r="642" spans="3:7" s="2" customFormat="1" ht="15" hidden="1" x14ac:dyDescent="0.2">
      <c r="C642"/>
      <c r="D642"/>
      <c r="E642" t="s">
        <v>29</v>
      </c>
      <c r="F642" s="106">
        <v>1.02</v>
      </c>
    </row>
    <row r="643" spans="3:7" s="2" customFormat="1" ht="15" hidden="1" x14ac:dyDescent="0.2">
      <c r="C643"/>
      <c r="D643"/>
      <c r="E643" t="s">
        <v>152</v>
      </c>
      <c r="F643" s="106">
        <v>1.08</v>
      </c>
    </row>
    <row r="644" spans="3:7" s="2" customFormat="1" ht="15" hidden="1" x14ac:dyDescent="0.2">
      <c r="C644"/>
      <c r="D644"/>
      <c r="E644" t="s">
        <v>211</v>
      </c>
      <c r="F644" s="106">
        <v>1.03</v>
      </c>
    </row>
    <row r="645" spans="3:7" s="2" customFormat="1" ht="15" hidden="1" x14ac:dyDescent="0.2">
      <c r="C645"/>
      <c r="D645"/>
      <c r="E645" t="s">
        <v>212</v>
      </c>
      <c r="F645" s="106">
        <v>1.06</v>
      </c>
    </row>
    <row r="646" spans="3:7" s="2" customFormat="1" ht="15" hidden="1" x14ac:dyDescent="0.2">
      <c r="C646"/>
      <c r="D646"/>
      <c r="E646" t="s">
        <v>110</v>
      </c>
      <c r="F646" s="106">
        <v>1.1000000000000001</v>
      </c>
    </row>
    <row r="647" spans="3:7" s="2" customFormat="1" ht="15" hidden="1" x14ac:dyDescent="0.2">
      <c r="C647"/>
      <c r="D647"/>
      <c r="E647" t="s">
        <v>238</v>
      </c>
      <c r="F647" s="106">
        <v>1.21</v>
      </c>
    </row>
    <row r="648" spans="3:7" s="2" customFormat="1" ht="15" hidden="1" x14ac:dyDescent="0.2">
      <c r="C648"/>
      <c r="D648"/>
      <c r="E648" t="s">
        <v>263</v>
      </c>
      <c r="F648" s="106">
        <v>1.07</v>
      </c>
    </row>
    <row r="649" spans="3:7" s="2" customFormat="1" ht="15" hidden="1" x14ac:dyDescent="0.2">
      <c r="C649"/>
      <c r="D649"/>
      <c r="E649" t="s">
        <v>87</v>
      </c>
      <c r="F649" s="104">
        <v>1.18</v>
      </c>
    </row>
    <row r="650" spans="3:7" s="2" customFormat="1" ht="15" hidden="1" x14ac:dyDescent="0.2">
      <c r="C650"/>
      <c r="D650"/>
      <c r="E650" t="s">
        <v>165</v>
      </c>
      <c r="F650" s="106">
        <v>1.3</v>
      </c>
    </row>
    <row r="651" spans="3:7" s="2" customFormat="1" ht="15" hidden="1" x14ac:dyDescent="0.2">
      <c r="C651"/>
      <c r="D651"/>
      <c r="E651" t="s">
        <v>186</v>
      </c>
      <c r="F651" s="106">
        <v>1.28</v>
      </c>
    </row>
    <row r="652" spans="3:7" s="2" customFormat="1" ht="15" hidden="1" x14ac:dyDescent="0.2">
      <c r="C652"/>
      <c r="D652"/>
      <c r="E652" t="s">
        <v>213</v>
      </c>
      <c r="F652" s="106">
        <v>1.04</v>
      </c>
    </row>
    <row r="653" spans="3:7" s="2" customFormat="1" ht="15" hidden="1" x14ac:dyDescent="0.2">
      <c r="C653"/>
      <c r="D653"/>
      <c r="E653" t="s">
        <v>239</v>
      </c>
      <c r="F653" s="106">
        <v>1.2</v>
      </c>
    </row>
    <row r="654" spans="3:7" hidden="1" x14ac:dyDescent="0.2">
      <c r="E654" t="s">
        <v>309</v>
      </c>
      <c r="F654" s="106">
        <v>1.1599999999999999</v>
      </c>
      <c r="G654" s="32"/>
    </row>
    <row r="655" spans="3:7" s="2" customFormat="1" ht="15" hidden="1" x14ac:dyDescent="0.2">
      <c r="C655"/>
      <c r="D655"/>
      <c r="E655" t="s">
        <v>140</v>
      </c>
      <c r="F655" s="104">
        <v>1.1200000000000001</v>
      </c>
    </row>
    <row r="656" spans="3:7" s="2" customFormat="1" ht="15" hidden="1" x14ac:dyDescent="0.2">
      <c r="C656"/>
      <c r="D656"/>
      <c r="E656" t="s">
        <v>240</v>
      </c>
      <c r="F656" s="106">
        <v>1.19</v>
      </c>
    </row>
    <row r="657" spans="3:7" s="2" customFormat="1" ht="15" hidden="1" x14ac:dyDescent="0.2">
      <c r="C657"/>
      <c r="D657"/>
      <c r="E657" t="s">
        <v>198</v>
      </c>
      <c r="F657" s="106">
        <v>1.0900000000000001</v>
      </c>
    </row>
    <row r="658" spans="3:7" s="2" customFormat="1" ht="15" hidden="1" x14ac:dyDescent="0.2">
      <c r="C658"/>
      <c r="D658"/>
      <c r="E658" t="s">
        <v>229</v>
      </c>
      <c r="F658" s="106">
        <v>1.1000000000000001</v>
      </c>
    </row>
    <row r="659" spans="3:7" s="2" customFormat="1" ht="15" hidden="1" x14ac:dyDescent="0.2">
      <c r="C659"/>
      <c r="D659"/>
      <c r="E659" t="s">
        <v>241</v>
      </c>
      <c r="F659" s="106">
        <v>1.2</v>
      </c>
    </row>
    <row r="660" spans="3:7" s="2" customFormat="1" ht="15" hidden="1" x14ac:dyDescent="0.2">
      <c r="C660"/>
      <c r="D660"/>
      <c r="E660" t="s">
        <v>48</v>
      </c>
      <c r="F660" s="104">
        <v>1.1399999999999999</v>
      </c>
    </row>
    <row r="661" spans="3:7" s="2" customFormat="1" ht="15" hidden="1" x14ac:dyDescent="0.2">
      <c r="C661"/>
      <c r="D661"/>
      <c r="E661" t="s">
        <v>141</v>
      </c>
      <c r="F661" s="104">
        <v>1.1399999999999999</v>
      </c>
    </row>
    <row r="662" spans="3:7" hidden="1" x14ac:dyDescent="0.2">
      <c r="E662" t="s">
        <v>284</v>
      </c>
      <c r="F662" s="106">
        <v>1.27</v>
      </c>
      <c r="G662" s="32"/>
    </row>
    <row r="663" spans="3:7" s="2" customFormat="1" ht="15" hidden="1" x14ac:dyDescent="0.2">
      <c r="C663"/>
      <c r="D663"/>
      <c r="E663" t="s">
        <v>65</v>
      </c>
      <c r="F663" s="104">
        <v>1.06</v>
      </c>
    </row>
    <row r="664" spans="3:7" hidden="1" x14ac:dyDescent="0.2">
      <c r="E664" t="s">
        <v>294</v>
      </c>
      <c r="F664" s="106">
        <v>1.21</v>
      </c>
      <c r="G664" s="32"/>
    </row>
    <row r="665" spans="3:7" s="2" customFormat="1" ht="15" hidden="1" x14ac:dyDescent="0.2">
      <c r="C665"/>
      <c r="D665"/>
      <c r="E665" t="s">
        <v>111</v>
      </c>
      <c r="F665" s="106">
        <v>1.1299999999999999</v>
      </c>
    </row>
    <row r="666" spans="3:7" s="2" customFormat="1" ht="15" hidden="1" x14ac:dyDescent="0.2">
      <c r="C666"/>
      <c r="D666"/>
      <c r="E666" t="s">
        <v>112</v>
      </c>
      <c r="F666" s="106">
        <v>1.1000000000000001</v>
      </c>
    </row>
    <row r="667" spans="3:7" s="2" customFormat="1" ht="15" hidden="1" x14ac:dyDescent="0.2">
      <c r="C667"/>
      <c r="D667"/>
      <c r="E667" t="s">
        <v>88</v>
      </c>
      <c r="F667" s="104">
        <v>1.19</v>
      </c>
    </row>
    <row r="668" spans="3:7" s="2" customFormat="1" ht="15" hidden="1" x14ac:dyDescent="0.2">
      <c r="C668"/>
      <c r="D668"/>
      <c r="E668" t="s">
        <v>89</v>
      </c>
      <c r="F668" s="104">
        <v>1.17</v>
      </c>
    </row>
    <row r="669" spans="3:7" s="2" customFormat="1" ht="15" hidden="1" x14ac:dyDescent="0.2">
      <c r="C669"/>
      <c r="D669"/>
      <c r="E669" t="s">
        <v>90</v>
      </c>
      <c r="F669" s="104">
        <v>1.17</v>
      </c>
    </row>
    <row r="670" spans="3:7" hidden="1" x14ac:dyDescent="0.2">
      <c r="E670" t="s">
        <v>310</v>
      </c>
      <c r="F670" s="106">
        <v>1.2</v>
      </c>
      <c r="G670" s="32"/>
    </row>
    <row r="671" spans="3:7" hidden="1" x14ac:dyDescent="0.2">
      <c r="E671" t="s">
        <v>275</v>
      </c>
      <c r="F671" s="106">
        <v>1.02</v>
      </c>
      <c r="G671" s="32"/>
    </row>
    <row r="672" spans="3:7" hidden="1" x14ac:dyDescent="0.2">
      <c r="E672" t="s">
        <v>285</v>
      </c>
      <c r="F672" s="106">
        <v>1.26</v>
      </c>
      <c r="G672" s="32"/>
    </row>
    <row r="673" spans="3:7" s="2" customFormat="1" ht="15" hidden="1" x14ac:dyDescent="0.2">
      <c r="C673"/>
      <c r="D673"/>
      <c r="E673" t="s">
        <v>153</v>
      </c>
      <c r="F673" s="106">
        <v>1.07</v>
      </c>
    </row>
    <row r="674" spans="3:7" hidden="1" x14ac:dyDescent="0.2">
      <c r="E674" t="s">
        <v>295</v>
      </c>
      <c r="F674" s="106">
        <v>1.23</v>
      </c>
      <c r="G674" s="32"/>
    </row>
    <row r="675" spans="3:7" s="2" customFormat="1" ht="15" hidden="1" x14ac:dyDescent="0.2">
      <c r="C675"/>
      <c r="D675"/>
      <c r="E675" t="s">
        <v>230</v>
      </c>
      <c r="F675" s="106">
        <v>1.08</v>
      </c>
    </row>
    <row r="676" spans="3:7" hidden="1" x14ac:dyDescent="0.2">
      <c r="E676" t="s">
        <v>296</v>
      </c>
      <c r="F676" s="106">
        <v>1.25</v>
      </c>
      <c r="G676" s="32"/>
    </row>
    <row r="677" spans="3:7" s="2" customFormat="1" ht="15" hidden="1" x14ac:dyDescent="0.2">
      <c r="C677"/>
      <c r="D677"/>
      <c r="E677" t="s">
        <v>125</v>
      </c>
      <c r="F677" s="104">
        <v>1.04</v>
      </c>
    </row>
    <row r="678" spans="3:7" s="2" customFormat="1" ht="15" hidden="1" x14ac:dyDescent="0.2">
      <c r="C678"/>
      <c r="D678"/>
      <c r="E678" t="s">
        <v>113</v>
      </c>
      <c r="F678" s="106">
        <v>1.1200000000000001</v>
      </c>
    </row>
    <row r="679" spans="3:7" hidden="1" x14ac:dyDescent="0.2">
      <c r="E679" t="s">
        <v>276</v>
      </c>
      <c r="F679" s="106">
        <v>1.03</v>
      </c>
      <c r="G679" s="32"/>
    </row>
    <row r="680" spans="3:7" s="2" customFormat="1" ht="15" hidden="1" x14ac:dyDescent="0.2">
      <c r="C680"/>
      <c r="D680"/>
      <c r="E680" t="s">
        <v>126</v>
      </c>
      <c r="F680" s="104">
        <v>1.05</v>
      </c>
    </row>
    <row r="681" spans="3:7" hidden="1" x14ac:dyDescent="0.2">
      <c r="E681" t="s">
        <v>311</v>
      </c>
      <c r="F681" s="106">
        <v>1.1599999999999999</v>
      </c>
      <c r="G681" s="32"/>
    </row>
    <row r="682" spans="3:7" s="2" customFormat="1" ht="15" hidden="1" x14ac:dyDescent="0.2">
      <c r="C682"/>
      <c r="D682"/>
      <c r="E682" t="s">
        <v>66</v>
      </c>
      <c r="F682" s="104">
        <v>1.07</v>
      </c>
    </row>
    <row r="683" spans="3:7" s="2" customFormat="1" ht="15" hidden="1" x14ac:dyDescent="0.2">
      <c r="C683"/>
      <c r="D683"/>
      <c r="E683" t="s">
        <v>127</v>
      </c>
      <c r="F683" s="104">
        <v>1.07</v>
      </c>
    </row>
    <row r="684" spans="3:7" hidden="1" x14ac:dyDescent="0.2">
      <c r="E684" t="s">
        <v>297</v>
      </c>
      <c r="F684" s="106">
        <v>1.24</v>
      </c>
      <c r="G684" s="32"/>
    </row>
    <row r="685" spans="3:7" s="2" customFormat="1" ht="15" hidden="1" x14ac:dyDescent="0.2">
      <c r="C685"/>
      <c r="D685"/>
      <c r="E685" t="s">
        <v>49</v>
      </c>
      <c r="F685" s="104">
        <v>1.1499999999999999</v>
      </c>
    </row>
    <row r="686" spans="3:7" s="2" customFormat="1" ht="15" hidden="1" x14ac:dyDescent="0.2">
      <c r="C686"/>
      <c r="D686"/>
      <c r="E686" t="s">
        <v>199</v>
      </c>
      <c r="F686" s="106">
        <v>1.0900000000000001</v>
      </c>
    </row>
    <row r="687" spans="3:7" hidden="1" x14ac:dyDescent="0.2">
      <c r="E687" t="s">
        <v>312</v>
      </c>
      <c r="F687" s="106">
        <v>1.1499999999999999</v>
      </c>
      <c r="G687" s="32"/>
    </row>
    <row r="688" spans="3:7" s="2" customFormat="1" ht="15" hidden="1" x14ac:dyDescent="0.2">
      <c r="C688"/>
      <c r="D688"/>
      <c r="E688" t="s">
        <v>231</v>
      </c>
      <c r="F688" s="106">
        <v>1.07</v>
      </c>
    </row>
    <row r="689" spans="3:7" s="2" customFormat="1" ht="15" hidden="1" x14ac:dyDescent="0.2">
      <c r="C689"/>
      <c r="D689"/>
      <c r="E689" t="s">
        <v>178</v>
      </c>
      <c r="F689" s="106">
        <v>1.32</v>
      </c>
    </row>
    <row r="690" spans="3:7" s="2" customFormat="1" ht="15" hidden="1" x14ac:dyDescent="0.2">
      <c r="C690"/>
      <c r="D690"/>
      <c r="E690" t="s">
        <v>200</v>
      </c>
      <c r="F690" s="106">
        <v>1.07</v>
      </c>
    </row>
    <row r="691" spans="3:7" s="2" customFormat="1" ht="15" hidden="1" x14ac:dyDescent="0.2">
      <c r="C691"/>
      <c r="D691"/>
      <c r="E691" t="s">
        <v>67</v>
      </c>
      <c r="F691" s="104">
        <v>1.06</v>
      </c>
    </row>
    <row r="692" spans="3:7" s="2" customFormat="1" ht="15" hidden="1" x14ac:dyDescent="0.2">
      <c r="C692"/>
      <c r="D692"/>
      <c r="E692" t="s">
        <v>214</v>
      </c>
      <c r="F692" s="106">
        <v>1.03</v>
      </c>
    </row>
    <row r="693" spans="3:7" s="2" customFormat="1" ht="15" hidden="1" x14ac:dyDescent="0.2">
      <c r="C693"/>
      <c r="D693"/>
      <c r="E693" t="s">
        <v>215</v>
      </c>
      <c r="F693" s="106">
        <v>1.03</v>
      </c>
    </row>
    <row r="694" spans="3:7" s="2" customFormat="1" ht="15" hidden="1" x14ac:dyDescent="0.2">
      <c r="C694"/>
      <c r="D694"/>
      <c r="E694" t="s">
        <v>99</v>
      </c>
      <c r="F694" s="106">
        <v>1.0900000000000001</v>
      </c>
    </row>
    <row r="695" spans="3:7" s="2" customFormat="1" ht="15" hidden="1" x14ac:dyDescent="0.2">
      <c r="C695"/>
      <c r="D695"/>
      <c r="E695" t="s">
        <v>154</v>
      </c>
      <c r="F695" s="106">
        <v>1.1000000000000001</v>
      </c>
    </row>
    <row r="696" spans="3:7" s="2" customFormat="1" ht="15" hidden="1" x14ac:dyDescent="0.2">
      <c r="C696"/>
      <c r="D696"/>
      <c r="E696" t="s">
        <v>50</v>
      </c>
      <c r="F696" s="104">
        <v>1.1599999999999999</v>
      </c>
    </row>
    <row r="697" spans="3:7" hidden="1" x14ac:dyDescent="0.2">
      <c r="E697" t="s">
        <v>313</v>
      </c>
      <c r="F697" s="106">
        <v>1.1599999999999999</v>
      </c>
      <c r="G697" s="32"/>
    </row>
    <row r="698" spans="3:7" s="2" customFormat="1" ht="15" hidden="1" x14ac:dyDescent="0.2">
      <c r="C698"/>
      <c r="D698"/>
      <c r="E698" t="s">
        <v>51</v>
      </c>
      <c r="F698" s="104">
        <v>1.1299999999999999</v>
      </c>
    </row>
    <row r="699" spans="3:7" s="2" customFormat="1" ht="15" hidden="1" x14ac:dyDescent="0.2">
      <c r="C699"/>
      <c r="D699"/>
      <c r="E699" t="s">
        <v>114</v>
      </c>
      <c r="F699" s="106">
        <v>1.1100000000000001</v>
      </c>
    </row>
    <row r="700" spans="3:7" s="2" customFormat="1" ht="15" hidden="1" x14ac:dyDescent="0.2">
      <c r="C700"/>
      <c r="D700"/>
      <c r="E700" t="s">
        <v>264</v>
      </c>
      <c r="F700" s="106">
        <v>1.08</v>
      </c>
    </row>
    <row r="701" spans="3:7" s="2" customFormat="1" ht="15" hidden="1" x14ac:dyDescent="0.2">
      <c r="C701"/>
      <c r="D701"/>
      <c r="E701" t="s">
        <v>68</v>
      </c>
      <c r="F701" s="104">
        <v>1.06</v>
      </c>
    </row>
    <row r="702" spans="3:7" s="2" customFormat="1" ht="15" hidden="1" x14ac:dyDescent="0.2">
      <c r="C702"/>
      <c r="D702"/>
      <c r="E702" t="s">
        <v>52</v>
      </c>
      <c r="F702" s="104">
        <v>1.17</v>
      </c>
    </row>
    <row r="703" spans="3:7" s="2" customFormat="1" ht="15" hidden="1" x14ac:dyDescent="0.2">
      <c r="C703"/>
      <c r="D703"/>
      <c r="E703" t="s">
        <v>242</v>
      </c>
      <c r="F703" s="106">
        <v>1.21</v>
      </c>
    </row>
    <row r="704" spans="3:7" hidden="1" x14ac:dyDescent="0.2">
      <c r="E704" t="s">
        <v>277</v>
      </c>
      <c r="F704" s="106">
        <v>1.02</v>
      </c>
      <c r="G704" s="32"/>
    </row>
    <row r="705" spans="3:7" s="2" customFormat="1" ht="15" hidden="1" x14ac:dyDescent="0.2">
      <c r="C705"/>
      <c r="D705"/>
      <c r="E705" t="s">
        <v>115</v>
      </c>
      <c r="F705" s="106">
        <v>1.1000000000000001</v>
      </c>
    </row>
    <row r="706" spans="3:7" s="2" customFormat="1" ht="15" hidden="1" x14ac:dyDescent="0.2">
      <c r="C706"/>
      <c r="D706"/>
      <c r="E706" t="s">
        <v>243</v>
      </c>
      <c r="F706" s="106">
        <v>1.2</v>
      </c>
    </row>
    <row r="707" spans="3:7" hidden="1" x14ac:dyDescent="0.2">
      <c r="E707" t="s">
        <v>286</v>
      </c>
      <c r="F707" s="106">
        <v>1.25</v>
      </c>
      <c r="G707" s="32"/>
    </row>
    <row r="708" spans="3:7" s="2" customFormat="1" ht="15" hidden="1" x14ac:dyDescent="0.2">
      <c r="C708"/>
      <c r="D708"/>
      <c r="E708" t="s">
        <v>201</v>
      </c>
      <c r="F708" s="106">
        <v>1.1200000000000001</v>
      </c>
    </row>
    <row r="709" spans="3:7" s="2" customFormat="1" ht="15" hidden="1" x14ac:dyDescent="0.2">
      <c r="C709"/>
      <c r="D709"/>
      <c r="E709" t="s">
        <v>116</v>
      </c>
      <c r="F709" s="106">
        <v>1.1499999999999999</v>
      </c>
    </row>
    <row r="710" spans="3:7" s="2" customFormat="1" ht="15" hidden="1" x14ac:dyDescent="0.2">
      <c r="C710"/>
      <c r="D710"/>
      <c r="E710" t="s">
        <v>244</v>
      </c>
      <c r="F710" s="106">
        <v>1.19</v>
      </c>
    </row>
    <row r="711" spans="3:7" hidden="1" x14ac:dyDescent="0.2">
      <c r="E711" t="s">
        <v>314</v>
      </c>
      <c r="F711" s="106">
        <v>1.17</v>
      </c>
      <c r="G711" s="32"/>
    </row>
    <row r="712" spans="3:7" s="2" customFormat="1" ht="15" hidden="1" x14ac:dyDescent="0.2">
      <c r="C712"/>
      <c r="D712"/>
      <c r="E712" t="s">
        <v>100</v>
      </c>
      <c r="F712" s="106">
        <v>1.1100000000000001</v>
      </c>
    </row>
    <row r="713" spans="3:7" hidden="1" x14ac:dyDescent="0.2">
      <c r="E713" t="s">
        <v>315</v>
      </c>
      <c r="F713" s="106">
        <v>1.21</v>
      </c>
      <c r="G713" s="32"/>
    </row>
    <row r="714" spans="3:7" s="2" customFormat="1" ht="15" hidden="1" x14ac:dyDescent="0.2">
      <c r="C714"/>
      <c r="D714"/>
      <c r="E714" t="s">
        <v>117</v>
      </c>
      <c r="F714" s="106">
        <v>1.0900000000000001</v>
      </c>
    </row>
    <row r="715" spans="3:7" s="2" customFormat="1" ht="15" hidden="1" x14ac:dyDescent="0.2">
      <c r="C715"/>
      <c r="D715"/>
      <c r="E715" t="s">
        <v>202</v>
      </c>
      <c r="F715" s="106">
        <v>1.07</v>
      </c>
    </row>
    <row r="716" spans="3:7" hidden="1" x14ac:dyDescent="0.2">
      <c r="E716" t="s">
        <v>298</v>
      </c>
      <c r="F716" s="106">
        <v>1.21</v>
      </c>
      <c r="G716" s="32"/>
    </row>
    <row r="717" spans="3:7" s="2" customFormat="1" ht="15" hidden="1" x14ac:dyDescent="0.2">
      <c r="C717"/>
      <c r="D717"/>
      <c r="E717" t="s">
        <v>142</v>
      </c>
      <c r="F717" s="104">
        <v>1.1299999999999999</v>
      </c>
    </row>
    <row r="718" spans="3:7" s="2" customFormat="1" ht="15" hidden="1" x14ac:dyDescent="0.2">
      <c r="C718"/>
      <c r="D718"/>
      <c r="E718" t="s">
        <v>203</v>
      </c>
      <c r="F718" s="106">
        <v>1.1000000000000001</v>
      </c>
    </row>
    <row r="719" spans="3:7" s="2" customFormat="1" ht="15" hidden="1" x14ac:dyDescent="0.2">
      <c r="C719"/>
      <c r="D719"/>
      <c r="E719" t="s">
        <v>166</v>
      </c>
      <c r="F719" s="106">
        <v>1.31</v>
      </c>
    </row>
    <row r="720" spans="3:7" s="2" customFormat="1" ht="15" hidden="1" x14ac:dyDescent="0.2">
      <c r="C720"/>
      <c r="D720"/>
      <c r="E720" t="s">
        <v>179</v>
      </c>
      <c r="F720" s="106">
        <v>1.28</v>
      </c>
    </row>
    <row r="721" spans="3:7" hidden="1" x14ac:dyDescent="0.2">
      <c r="E721" s="32" t="s">
        <v>352</v>
      </c>
      <c r="F721" s="106">
        <v>1.25</v>
      </c>
      <c r="G721" s="32"/>
    </row>
    <row r="722" spans="3:7" hidden="1" x14ac:dyDescent="0.2">
      <c r="E722" t="s">
        <v>288</v>
      </c>
      <c r="F722" s="106">
        <v>1.24</v>
      </c>
      <c r="G722" s="32"/>
    </row>
    <row r="723" spans="3:7" s="2" customFormat="1" ht="15" hidden="1" x14ac:dyDescent="0.2">
      <c r="C723"/>
      <c r="D723"/>
      <c r="E723" t="s">
        <v>232</v>
      </c>
      <c r="F723" s="106">
        <v>1.05</v>
      </c>
    </row>
    <row r="724" spans="3:7" s="2" customFormat="1" ht="15" hidden="1" x14ac:dyDescent="0.2">
      <c r="C724"/>
      <c r="D724"/>
      <c r="E724" t="s">
        <v>30</v>
      </c>
      <c r="F724" s="106">
        <v>1.0900000000000001</v>
      </c>
    </row>
    <row r="725" spans="3:7" s="2" customFormat="1" ht="15" hidden="1" x14ac:dyDescent="0.2">
      <c r="C725"/>
      <c r="D725"/>
      <c r="E725" t="s">
        <v>128</v>
      </c>
      <c r="F725" s="104">
        <v>1.05</v>
      </c>
    </row>
    <row r="726" spans="3:7" s="2" customFormat="1" ht="15" hidden="1" x14ac:dyDescent="0.2">
      <c r="C726"/>
      <c r="D726"/>
      <c r="E726" t="s">
        <v>155</v>
      </c>
      <c r="F726" s="106">
        <v>1.08</v>
      </c>
    </row>
    <row r="727" spans="3:7" s="2" customFormat="1" ht="15" hidden="1" x14ac:dyDescent="0.2">
      <c r="C727"/>
      <c r="D727"/>
      <c r="E727" t="s">
        <v>31</v>
      </c>
      <c r="F727" s="106">
        <v>1.19</v>
      </c>
    </row>
    <row r="728" spans="3:7" s="2" customFormat="1" ht="15" hidden="1" x14ac:dyDescent="0.2">
      <c r="C728"/>
      <c r="D728"/>
      <c r="E728" t="s">
        <v>204</v>
      </c>
      <c r="F728" s="106">
        <v>1.0900000000000001</v>
      </c>
    </row>
    <row r="729" spans="3:7" s="2" customFormat="1" ht="15" hidden="1" x14ac:dyDescent="0.2">
      <c r="C729"/>
      <c r="D729"/>
      <c r="E729" t="s">
        <v>167</v>
      </c>
      <c r="F729" s="106">
        <v>1.33</v>
      </c>
    </row>
    <row r="730" spans="3:7" s="2" customFormat="1" ht="15" hidden="1" x14ac:dyDescent="0.2">
      <c r="C730"/>
      <c r="D730"/>
      <c r="E730" t="s">
        <v>174</v>
      </c>
      <c r="F730" s="106">
        <v>1.34</v>
      </c>
    </row>
    <row r="731" spans="3:7" s="2" customFormat="1" ht="15" hidden="1" x14ac:dyDescent="0.2">
      <c r="C731"/>
      <c r="D731"/>
      <c r="E731" t="s">
        <v>180</v>
      </c>
      <c r="F731" s="106">
        <v>1.31</v>
      </c>
    </row>
    <row r="732" spans="3:7" s="2" customFormat="1" ht="15" hidden="1" x14ac:dyDescent="0.2">
      <c r="C732"/>
      <c r="D732"/>
      <c r="E732" t="s">
        <v>78</v>
      </c>
      <c r="F732" s="104">
        <v>1.23</v>
      </c>
    </row>
    <row r="733" spans="3:7" s="2" customFormat="1" ht="15" hidden="1" x14ac:dyDescent="0.2">
      <c r="C733"/>
      <c r="D733"/>
      <c r="E733" t="s">
        <v>245</v>
      </c>
      <c r="F733" s="106">
        <v>1.22</v>
      </c>
    </row>
    <row r="734" spans="3:7" s="2" customFormat="1" ht="15" hidden="1" x14ac:dyDescent="0.2">
      <c r="C734"/>
      <c r="D734"/>
      <c r="E734" t="s">
        <v>101</v>
      </c>
      <c r="F734" s="106">
        <v>1.08</v>
      </c>
    </row>
    <row r="735" spans="3:7" s="2" customFormat="1" ht="15" hidden="1" x14ac:dyDescent="0.2">
      <c r="C735"/>
      <c r="D735"/>
      <c r="E735" t="s">
        <v>129</v>
      </c>
      <c r="F735" s="104">
        <v>1.06</v>
      </c>
    </row>
    <row r="736" spans="3:7" s="2" customFormat="1" ht="15" hidden="1" x14ac:dyDescent="0.2">
      <c r="C736"/>
      <c r="D736"/>
      <c r="E736" t="s">
        <v>130</v>
      </c>
      <c r="F736" s="104">
        <v>1.06</v>
      </c>
    </row>
    <row r="737" spans="3:7" hidden="1" x14ac:dyDescent="0.2">
      <c r="E737" t="s">
        <v>316</v>
      </c>
      <c r="F737" s="106">
        <v>1.2</v>
      </c>
      <c r="G737" s="32"/>
    </row>
    <row r="738" spans="3:7" hidden="1" x14ac:dyDescent="0.2">
      <c r="E738" t="s">
        <v>299</v>
      </c>
      <c r="F738" s="106">
        <v>1.23</v>
      </c>
      <c r="G738" s="32"/>
    </row>
    <row r="739" spans="3:7" s="2" customFormat="1" ht="15" hidden="1" x14ac:dyDescent="0.2">
      <c r="C739"/>
      <c r="D739"/>
      <c r="E739" t="s">
        <v>168</v>
      </c>
      <c r="F739" s="106">
        <v>1.3</v>
      </c>
    </row>
    <row r="740" spans="3:7" s="2" customFormat="1" ht="15" hidden="1" x14ac:dyDescent="0.2">
      <c r="C740"/>
      <c r="D740"/>
      <c r="E740" t="s">
        <v>181</v>
      </c>
      <c r="F740" s="106">
        <v>1.29</v>
      </c>
    </row>
    <row r="741" spans="3:7" s="2" customFormat="1" ht="15" hidden="1" x14ac:dyDescent="0.2">
      <c r="C741"/>
      <c r="D741"/>
      <c r="E741" t="s">
        <v>265</v>
      </c>
      <c r="F741" s="106">
        <v>1.06</v>
      </c>
    </row>
    <row r="742" spans="3:7" hidden="1" x14ac:dyDescent="0.2">
      <c r="E742" t="s">
        <v>300</v>
      </c>
      <c r="F742" s="106">
        <v>1.22</v>
      </c>
      <c r="G742" s="32"/>
    </row>
    <row r="743" spans="3:7" s="2" customFormat="1" ht="15" hidden="1" x14ac:dyDescent="0.2">
      <c r="C743"/>
      <c r="D743"/>
      <c r="E743" t="s">
        <v>143</v>
      </c>
      <c r="F743" s="104">
        <v>1.1100000000000001</v>
      </c>
    </row>
    <row r="744" spans="3:7" s="2" customFormat="1" ht="15" hidden="1" x14ac:dyDescent="0.2">
      <c r="C744"/>
      <c r="D744"/>
      <c r="E744" t="s">
        <v>266</v>
      </c>
      <c r="F744" s="106">
        <v>1.05</v>
      </c>
    </row>
    <row r="745" spans="3:7" hidden="1" x14ac:dyDescent="0.2">
      <c r="E745" t="s">
        <v>317</v>
      </c>
      <c r="F745" s="106">
        <v>1.1599999999999999</v>
      </c>
      <c r="G745" s="32"/>
    </row>
    <row r="746" spans="3:7" s="2" customFormat="1" ht="15" hidden="1" x14ac:dyDescent="0.2">
      <c r="C746"/>
      <c r="D746"/>
      <c r="E746" t="s">
        <v>169</v>
      </c>
      <c r="F746" s="106">
        <v>1.29</v>
      </c>
    </row>
    <row r="747" spans="3:7" s="2" customFormat="1" ht="15" hidden="1" x14ac:dyDescent="0.2">
      <c r="C747"/>
      <c r="D747"/>
      <c r="E747" t="s">
        <v>161</v>
      </c>
      <c r="F747" s="106">
        <v>1.34</v>
      </c>
    </row>
    <row r="748" spans="3:7" s="2" customFormat="1" ht="15" hidden="1" x14ac:dyDescent="0.2">
      <c r="C748"/>
      <c r="D748"/>
      <c r="E748" t="s">
        <v>173</v>
      </c>
      <c r="F748" s="106">
        <v>1.35</v>
      </c>
    </row>
    <row r="749" spans="3:7" s="2" customFormat="1" ht="15" hidden="1" x14ac:dyDescent="0.2">
      <c r="C749"/>
      <c r="D749"/>
      <c r="E749" t="s">
        <v>53</v>
      </c>
      <c r="F749" s="104">
        <v>1.18</v>
      </c>
    </row>
    <row r="750" spans="3:7" hidden="1" x14ac:dyDescent="0.2">
      <c r="E750" t="s">
        <v>301</v>
      </c>
      <c r="F750" s="106">
        <v>1.22</v>
      </c>
      <c r="G750" s="32"/>
    </row>
    <row r="751" spans="3:7" s="2" customFormat="1" ht="15" hidden="1" x14ac:dyDescent="0.2">
      <c r="C751"/>
      <c r="D751"/>
      <c r="E751" t="s">
        <v>170</v>
      </c>
      <c r="F751" s="106">
        <v>1.3</v>
      </c>
    </row>
    <row r="752" spans="3:7" s="2" customFormat="1" ht="15" hidden="1" x14ac:dyDescent="0.2">
      <c r="C752"/>
      <c r="D752"/>
      <c r="E752" t="s">
        <v>32</v>
      </c>
      <c r="F752" s="106">
        <v>1.06</v>
      </c>
    </row>
    <row r="753" spans="3:7" hidden="1" x14ac:dyDescent="0.2">
      <c r="E753" t="s">
        <v>278</v>
      </c>
      <c r="F753" s="106">
        <v>1.05</v>
      </c>
      <c r="G753" s="32"/>
    </row>
    <row r="754" spans="3:7" s="2" customFormat="1" ht="15" hidden="1" x14ac:dyDescent="0.2">
      <c r="C754"/>
      <c r="D754"/>
      <c r="E754" t="s">
        <v>246</v>
      </c>
      <c r="F754" s="106">
        <v>1.21</v>
      </c>
    </row>
    <row r="755" spans="3:7" s="2" customFormat="1" ht="15" hidden="1" x14ac:dyDescent="0.2">
      <c r="C755"/>
      <c r="D755"/>
      <c r="E755" t="s">
        <v>156</v>
      </c>
      <c r="F755" s="106">
        <v>1.0900000000000001</v>
      </c>
    </row>
    <row r="756" spans="3:7" s="2" customFormat="1" ht="15" hidden="1" x14ac:dyDescent="0.2">
      <c r="C756"/>
      <c r="D756"/>
      <c r="E756" t="s">
        <v>54</v>
      </c>
      <c r="F756" s="104">
        <v>1.18</v>
      </c>
    </row>
    <row r="757" spans="3:7" hidden="1" x14ac:dyDescent="0.2">
      <c r="E757" s="32" t="s">
        <v>353</v>
      </c>
      <c r="F757" s="106">
        <v>1.22</v>
      </c>
      <c r="G757" s="32"/>
    </row>
    <row r="758" spans="3:7" hidden="1" x14ac:dyDescent="0.2">
      <c r="E758" t="s">
        <v>319</v>
      </c>
      <c r="F758" s="106">
        <v>1.19</v>
      </c>
      <c r="G758" s="32"/>
    </row>
    <row r="759" spans="3:7" s="2" customFormat="1" ht="15" hidden="1" x14ac:dyDescent="0.2">
      <c r="C759"/>
      <c r="D759"/>
      <c r="E759" t="s">
        <v>187</v>
      </c>
      <c r="F759" s="106">
        <v>1.29</v>
      </c>
    </row>
    <row r="760" spans="3:7" s="2" customFormat="1" ht="15" hidden="1" x14ac:dyDescent="0.2">
      <c r="C760"/>
      <c r="D760"/>
      <c r="E760" t="s">
        <v>171</v>
      </c>
      <c r="F760" s="106">
        <v>1.31</v>
      </c>
    </row>
    <row r="761" spans="3:7" hidden="1" x14ac:dyDescent="0.2">
      <c r="E761" t="s">
        <v>320</v>
      </c>
      <c r="F761" s="106">
        <v>1.19</v>
      </c>
      <c r="G761" s="32"/>
    </row>
    <row r="762" spans="3:7" s="2" customFormat="1" ht="15" hidden="1" x14ac:dyDescent="0.2">
      <c r="C762"/>
      <c r="D762"/>
      <c r="E762" t="s">
        <v>144</v>
      </c>
      <c r="F762" s="104">
        <v>1.1200000000000001</v>
      </c>
    </row>
    <row r="763" spans="3:7" hidden="1" x14ac:dyDescent="0.2">
      <c r="E763" t="s">
        <v>279</v>
      </c>
      <c r="F763" s="106">
        <v>1</v>
      </c>
      <c r="G763" s="32"/>
    </row>
    <row r="764" spans="3:7" hidden="1" x14ac:dyDescent="0.2">
      <c r="E764" t="s">
        <v>321</v>
      </c>
      <c r="F764" s="106">
        <v>1.2</v>
      </c>
      <c r="G764" s="32"/>
    </row>
    <row r="765" spans="3:7" s="2" customFormat="1" ht="15" hidden="1" x14ac:dyDescent="0.2">
      <c r="C765"/>
      <c r="D765"/>
      <c r="E765" t="s">
        <v>69</v>
      </c>
      <c r="F765" s="104">
        <v>1.06</v>
      </c>
    </row>
    <row r="766" spans="3:7" s="2" customFormat="1" ht="15" hidden="1" x14ac:dyDescent="0.2">
      <c r="C766"/>
      <c r="D766"/>
      <c r="E766" t="s">
        <v>102</v>
      </c>
      <c r="F766" s="106">
        <v>1.08</v>
      </c>
    </row>
    <row r="767" spans="3:7" hidden="1" x14ac:dyDescent="0.2">
      <c r="E767" t="s">
        <v>280</v>
      </c>
      <c r="F767" s="106">
        <v>1.1000000000000001</v>
      </c>
      <c r="G767" s="32"/>
    </row>
    <row r="768" spans="3:7" hidden="1" x14ac:dyDescent="0.2">
      <c r="E768" t="s">
        <v>33</v>
      </c>
      <c r="F768" s="106">
        <v>1.03</v>
      </c>
      <c r="G768" s="32"/>
    </row>
    <row r="769" spans="3:7" s="2" customFormat="1" ht="15" hidden="1" x14ac:dyDescent="0.2">
      <c r="C769"/>
      <c r="D769"/>
      <c r="E769" t="s">
        <v>55</v>
      </c>
      <c r="F769" s="104">
        <v>1.1599999999999999</v>
      </c>
    </row>
    <row r="770" spans="3:7" s="2" customFormat="1" ht="15" hidden="1" x14ac:dyDescent="0.2">
      <c r="C770"/>
      <c r="D770"/>
      <c r="E770" t="s">
        <v>157</v>
      </c>
      <c r="F770" s="106">
        <v>1.07</v>
      </c>
    </row>
    <row r="771" spans="3:7" hidden="1" x14ac:dyDescent="0.2">
      <c r="E771" t="s">
        <v>281</v>
      </c>
      <c r="F771" s="106">
        <v>1.06</v>
      </c>
      <c r="G771" s="32"/>
    </row>
    <row r="772" spans="3:7" s="2" customFormat="1" ht="15" hidden="1" x14ac:dyDescent="0.2">
      <c r="C772"/>
      <c r="D772"/>
      <c r="E772" t="s">
        <v>216</v>
      </c>
      <c r="F772" s="106">
        <v>1.04</v>
      </c>
    </row>
    <row r="773" spans="3:7" s="2" customFormat="1" ht="15" hidden="1" x14ac:dyDescent="0.2">
      <c r="C773"/>
      <c r="D773"/>
      <c r="E773" t="s">
        <v>217</v>
      </c>
      <c r="F773" s="106">
        <v>1.05</v>
      </c>
    </row>
    <row r="774" spans="3:7" s="2" customFormat="1" ht="15" hidden="1" x14ac:dyDescent="0.2">
      <c r="C774"/>
      <c r="D774"/>
      <c r="E774" t="s">
        <v>118</v>
      </c>
      <c r="F774" s="106">
        <v>1.1100000000000001</v>
      </c>
    </row>
    <row r="775" spans="3:7" s="2" customFormat="1" ht="15" hidden="1" x14ac:dyDescent="0.2">
      <c r="C775"/>
      <c r="D775"/>
      <c r="E775" t="s">
        <v>233</v>
      </c>
      <c r="F775" s="106">
        <v>1.06</v>
      </c>
    </row>
    <row r="776" spans="3:7" s="2" customFormat="1" ht="15" hidden="1" x14ac:dyDescent="0.2">
      <c r="C776"/>
      <c r="D776"/>
      <c r="E776" t="s">
        <v>119</v>
      </c>
      <c r="F776" s="106">
        <v>1.1100000000000001</v>
      </c>
    </row>
    <row r="777" spans="3:7" hidden="1" x14ac:dyDescent="0.2">
      <c r="E777" t="s">
        <v>322</v>
      </c>
      <c r="F777" s="106">
        <v>1.21</v>
      </c>
      <c r="G777" s="32"/>
    </row>
    <row r="778" spans="3:7" hidden="1" x14ac:dyDescent="0.2">
      <c r="E778" t="s">
        <v>323</v>
      </c>
      <c r="F778" s="106">
        <v>1.2</v>
      </c>
      <c r="G778" s="32"/>
    </row>
    <row r="779" spans="3:7" s="2" customFormat="1" ht="15" hidden="1" x14ac:dyDescent="0.2">
      <c r="C779"/>
      <c r="D779"/>
      <c r="E779" t="s">
        <v>158</v>
      </c>
      <c r="F779" s="106">
        <v>1.08</v>
      </c>
    </row>
    <row r="780" spans="3:7" s="2" customFormat="1" ht="15" hidden="1" x14ac:dyDescent="0.2">
      <c r="C780"/>
      <c r="D780"/>
      <c r="E780" t="s">
        <v>79</v>
      </c>
      <c r="F780" s="104">
        <v>1.25</v>
      </c>
    </row>
    <row r="781" spans="3:7" s="2" customFormat="1" ht="15" hidden="1" x14ac:dyDescent="0.2">
      <c r="C781"/>
      <c r="D781"/>
      <c r="E781" t="s">
        <v>267</v>
      </c>
      <c r="F781" s="106">
        <v>1.07</v>
      </c>
    </row>
    <row r="782" spans="3:7" hidden="1" x14ac:dyDescent="0.2">
      <c r="E782" t="s">
        <v>324</v>
      </c>
      <c r="F782" s="106">
        <v>1.1499999999999999</v>
      </c>
      <c r="G782" s="32"/>
    </row>
    <row r="783" spans="3:7" s="2" customFormat="1" ht="15" hidden="1" x14ac:dyDescent="0.2">
      <c r="C783"/>
      <c r="D783"/>
      <c r="E783" t="s">
        <v>91</v>
      </c>
      <c r="F783" s="104">
        <v>1.1599999999999999</v>
      </c>
    </row>
    <row r="784" spans="3:7" s="2" customFormat="1" ht="15" hidden="1" x14ac:dyDescent="0.2">
      <c r="C784"/>
      <c r="D784"/>
      <c r="E784" t="s">
        <v>268</v>
      </c>
      <c r="F784" s="106">
        <v>1.07</v>
      </c>
    </row>
    <row r="785" spans="3:7" s="2" customFormat="1" ht="15" hidden="1" x14ac:dyDescent="0.2">
      <c r="C785"/>
      <c r="D785"/>
      <c r="E785" t="s">
        <v>218</v>
      </c>
      <c r="F785" s="106">
        <v>1.05</v>
      </c>
    </row>
    <row r="786" spans="3:7" s="2" customFormat="1" ht="15" hidden="1" x14ac:dyDescent="0.2">
      <c r="C786"/>
      <c r="D786"/>
      <c r="E786" t="s">
        <v>145</v>
      </c>
      <c r="F786" s="104">
        <v>1.1399999999999999</v>
      </c>
    </row>
    <row r="787" spans="3:7" s="2" customFormat="1" ht="15" hidden="1" x14ac:dyDescent="0.2">
      <c r="C787"/>
      <c r="D787"/>
      <c r="E787" t="s">
        <v>350</v>
      </c>
      <c r="F787" s="106">
        <v>1.21</v>
      </c>
    </row>
    <row r="788" spans="3:7" s="2" customFormat="1" ht="15" hidden="1" x14ac:dyDescent="0.2">
      <c r="C788"/>
      <c r="D788"/>
      <c r="E788" t="s">
        <v>56</v>
      </c>
      <c r="F788" s="104">
        <v>1.1299999999999999</v>
      </c>
    </row>
    <row r="789" spans="3:7" s="2" customFormat="1" ht="15" hidden="1" x14ac:dyDescent="0.2">
      <c r="C789"/>
      <c r="D789"/>
      <c r="E789" t="s">
        <v>57</v>
      </c>
      <c r="F789" s="104">
        <v>1.17</v>
      </c>
    </row>
    <row r="790" spans="3:7" hidden="1" x14ac:dyDescent="0.2">
      <c r="E790" t="s">
        <v>289</v>
      </c>
      <c r="F790" s="106">
        <v>1.26</v>
      </c>
      <c r="G790" s="32"/>
    </row>
    <row r="791" spans="3:7" s="2" customFormat="1" ht="15" hidden="1" x14ac:dyDescent="0.2">
      <c r="C791"/>
      <c r="D791"/>
      <c r="E791" t="s">
        <v>248</v>
      </c>
      <c r="F791" s="106">
        <v>1.21</v>
      </c>
    </row>
    <row r="792" spans="3:7" hidden="1" x14ac:dyDescent="0.2">
      <c r="E792" t="s">
        <v>302</v>
      </c>
      <c r="F792" s="106">
        <v>1.24</v>
      </c>
      <c r="G792" s="32"/>
    </row>
    <row r="793" spans="3:7" s="2" customFormat="1" ht="15" hidden="1" x14ac:dyDescent="0.2">
      <c r="C793"/>
      <c r="D793"/>
      <c r="E793" t="s">
        <v>177</v>
      </c>
      <c r="F793" s="106">
        <v>1.31</v>
      </c>
    </row>
    <row r="794" spans="3:7" s="2" customFormat="1" ht="15" hidden="1" x14ac:dyDescent="0.2">
      <c r="C794"/>
      <c r="D794"/>
      <c r="E794" t="s">
        <v>131</v>
      </c>
      <c r="F794" s="104">
        <v>1.03</v>
      </c>
    </row>
    <row r="795" spans="3:7" s="2" customFormat="1" ht="15" hidden="1" x14ac:dyDescent="0.2">
      <c r="C795"/>
      <c r="D795"/>
      <c r="E795" t="s">
        <v>132</v>
      </c>
      <c r="F795" s="104">
        <v>1.04</v>
      </c>
    </row>
    <row r="796" spans="3:7" hidden="1" x14ac:dyDescent="0.2">
      <c r="E796" t="s">
        <v>34</v>
      </c>
      <c r="F796" s="106">
        <v>1.24</v>
      </c>
      <c r="G796" s="32"/>
    </row>
    <row r="797" spans="3:7" s="2" customFormat="1" ht="15" hidden="1" x14ac:dyDescent="0.2">
      <c r="C797"/>
      <c r="D797"/>
      <c r="E797" t="s">
        <v>70</v>
      </c>
      <c r="F797" s="104">
        <v>1.06</v>
      </c>
    </row>
    <row r="798" spans="3:7" s="2" customFormat="1" ht="15" hidden="1" x14ac:dyDescent="0.2">
      <c r="C798"/>
      <c r="D798"/>
      <c r="E798" t="s">
        <v>80</v>
      </c>
      <c r="F798" s="104">
        <v>1.23</v>
      </c>
    </row>
    <row r="799" spans="3:7" s="2" customFormat="1" ht="15" hidden="1" x14ac:dyDescent="0.2">
      <c r="C799"/>
      <c r="D799"/>
      <c r="E799" t="s">
        <v>189</v>
      </c>
      <c r="F799" s="104">
        <v>1.29</v>
      </c>
    </row>
    <row r="800" spans="3:7" s="2" customFormat="1" ht="15" hidden="1" x14ac:dyDescent="0.2">
      <c r="C800"/>
      <c r="D800"/>
      <c r="E800" t="s">
        <v>103</v>
      </c>
      <c r="F800" s="106">
        <v>1.07</v>
      </c>
    </row>
    <row r="801" spans="3:7" s="2" customFormat="1" ht="15" hidden="1" x14ac:dyDescent="0.2">
      <c r="C801"/>
      <c r="D801"/>
      <c r="E801" t="s">
        <v>159</v>
      </c>
      <c r="F801" s="106">
        <v>1.08</v>
      </c>
    </row>
    <row r="802" spans="3:7" s="2" customFormat="1" ht="15" hidden="1" x14ac:dyDescent="0.2">
      <c r="C802"/>
      <c r="D802"/>
      <c r="E802" t="s">
        <v>249</v>
      </c>
      <c r="F802" s="106">
        <v>1.21</v>
      </c>
    </row>
    <row r="803" spans="3:7" s="2" customFormat="1" ht="15" hidden="1" x14ac:dyDescent="0.2">
      <c r="C803"/>
      <c r="D803"/>
      <c r="E803" t="s">
        <v>176</v>
      </c>
      <c r="F803" s="106">
        <v>1.33</v>
      </c>
    </row>
    <row r="804" spans="3:7" s="2" customFormat="1" ht="15" hidden="1" x14ac:dyDescent="0.2">
      <c r="C804"/>
      <c r="D804"/>
      <c r="E804" t="s">
        <v>92</v>
      </c>
      <c r="F804" s="104">
        <v>1.17</v>
      </c>
    </row>
    <row r="805" spans="3:7" s="2" customFormat="1" ht="15" hidden="1" x14ac:dyDescent="0.2">
      <c r="C805"/>
      <c r="D805"/>
      <c r="E805" t="s">
        <v>219</v>
      </c>
      <c r="F805" s="106">
        <v>1.04</v>
      </c>
    </row>
    <row r="806" spans="3:7" s="2" customFormat="1" ht="15" hidden="1" x14ac:dyDescent="0.2">
      <c r="C806"/>
      <c r="D806"/>
      <c r="E806" t="s">
        <v>182</v>
      </c>
      <c r="F806" s="106">
        <v>1.3</v>
      </c>
    </row>
    <row r="807" spans="3:7" hidden="1" x14ac:dyDescent="0.2">
      <c r="E807" t="s">
        <v>269</v>
      </c>
      <c r="F807" s="106">
        <v>1.06</v>
      </c>
      <c r="G807" s="32"/>
    </row>
    <row r="808" spans="3:7" hidden="1" x14ac:dyDescent="0.2">
      <c r="E808" t="s">
        <v>290</v>
      </c>
      <c r="F808" s="106">
        <v>1.26</v>
      </c>
      <c r="G808" s="32"/>
    </row>
    <row r="809" spans="3:7" s="2" customFormat="1" ht="15" hidden="1" x14ac:dyDescent="0.2">
      <c r="C809"/>
      <c r="D809"/>
      <c r="E809" t="s">
        <v>81</v>
      </c>
      <c r="F809" s="104">
        <v>1.21</v>
      </c>
    </row>
    <row r="810" spans="3:7" s="2" customFormat="1" ht="15" hidden="1" x14ac:dyDescent="0.2">
      <c r="C810"/>
      <c r="D810"/>
      <c r="E810" t="s">
        <v>146</v>
      </c>
      <c r="F810" s="104">
        <v>1.1499999999999999</v>
      </c>
    </row>
    <row r="811" spans="3:7" s="2" customFormat="1" ht="15" hidden="1" x14ac:dyDescent="0.2">
      <c r="C811"/>
      <c r="D811"/>
      <c r="E811" t="s">
        <v>250</v>
      </c>
      <c r="F811" s="106">
        <v>1.18</v>
      </c>
    </row>
    <row r="812" spans="3:7" hidden="1" x14ac:dyDescent="0.2">
      <c r="E812" t="s">
        <v>325</v>
      </c>
      <c r="F812" s="106">
        <v>1.19</v>
      </c>
      <c r="G812" s="32"/>
    </row>
    <row r="813" spans="3:7" s="2" customFormat="1" ht="15" hidden="1" x14ac:dyDescent="0.2">
      <c r="C813"/>
      <c r="D813"/>
      <c r="E813" t="s">
        <v>120</v>
      </c>
      <c r="F813" s="106">
        <v>1.1100000000000001</v>
      </c>
    </row>
    <row r="814" spans="3:7" hidden="1" x14ac:dyDescent="0.2">
      <c r="E814" t="s">
        <v>303</v>
      </c>
      <c r="F814" s="106">
        <v>1.23</v>
      </c>
      <c r="G814" s="32"/>
    </row>
    <row r="815" spans="3:7" hidden="1" x14ac:dyDescent="0.2">
      <c r="E815" t="s">
        <v>35</v>
      </c>
      <c r="F815" s="106">
        <v>1.22</v>
      </c>
      <c r="G815" s="32"/>
    </row>
    <row r="816" spans="3:7" s="2" customFormat="1" ht="15" hidden="1" x14ac:dyDescent="0.2">
      <c r="C816"/>
      <c r="D816"/>
      <c r="E816" t="s">
        <v>160</v>
      </c>
      <c r="F816" s="106">
        <v>1.0900000000000001</v>
      </c>
    </row>
    <row r="817" spans="3:7" s="2" customFormat="1" ht="15" hidden="1" x14ac:dyDescent="0.2">
      <c r="C817"/>
      <c r="D817"/>
      <c r="E817" t="s">
        <v>104</v>
      </c>
      <c r="F817" s="106">
        <v>1.08</v>
      </c>
    </row>
    <row r="818" spans="3:7" s="2" customFormat="1" ht="15" hidden="1" x14ac:dyDescent="0.2">
      <c r="C818"/>
      <c r="D818"/>
      <c r="E818" t="s">
        <v>82</v>
      </c>
      <c r="F818" s="104">
        <v>1.23</v>
      </c>
    </row>
    <row r="819" spans="3:7" s="2" customFormat="1" ht="15" hidden="1" x14ac:dyDescent="0.2">
      <c r="C819"/>
      <c r="D819"/>
      <c r="E819" t="s">
        <v>133</v>
      </c>
      <c r="F819" s="104">
        <v>1.07</v>
      </c>
    </row>
    <row r="820" spans="3:7" s="2" customFormat="1" ht="15" hidden="1" x14ac:dyDescent="0.2">
      <c r="C820"/>
      <c r="D820"/>
      <c r="E820" t="s">
        <v>93</v>
      </c>
      <c r="F820" s="104">
        <v>1.19</v>
      </c>
    </row>
    <row r="821" spans="3:7" s="2" customFormat="1" ht="15" hidden="1" x14ac:dyDescent="0.2">
      <c r="C821"/>
      <c r="D821"/>
      <c r="E821" t="s">
        <v>94</v>
      </c>
      <c r="F821" s="104">
        <v>1.19</v>
      </c>
    </row>
    <row r="822" spans="3:7" hidden="1" x14ac:dyDescent="0.2">
      <c r="E822" t="s">
        <v>36</v>
      </c>
      <c r="F822" s="106">
        <v>1.18</v>
      </c>
      <c r="G822" s="32"/>
    </row>
    <row r="823" spans="3:7" s="2" customFormat="1" ht="15" hidden="1" x14ac:dyDescent="0.2">
      <c r="C823"/>
      <c r="D823"/>
      <c r="E823" t="s">
        <v>83</v>
      </c>
      <c r="F823" s="104">
        <v>1.22</v>
      </c>
    </row>
    <row r="824" spans="3:7" hidden="1" x14ac:dyDescent="0.2">
      <c r="E824" t="s">
        <v>326</v>
      </c>
      <c r="F824" s="106">
        <v>1.19</v>
      </c>
      <c r="G824" s="32"/>
    </row>
    <row r="825" spans="3:7" hidden="1" x14ac:dyDescent="0.2">
      <c r="F825" s="32"/>
      <c r="G825" s="32"/>
    </row>
    <row r="826" spans="3:7" x14ac:dyDescent="0.2">
      <c r="F826" s="32"/>
      <c r="G826" s="32"/>
    </row>
    <row r="827" spans="3:7" x14ac:dyDescent="0.2">
      <c r="F827" s="32"/>
      <c r="G827" s="32"/>
    </row>
    <row r="828" spans="3:7" x14ac:dyDescent="0.2">
      <c r="F828" s="32"/>
      <c r="G828" s="32"/>
    </row>
    <row r="829" spans="3:7" x14ac:dyDescent="0.2">
      <c r="F829" s="32"/>
      <c r="G829" s="32"/>
    </row>
    <row r="830" spans="3:7" x14ac:dyDescent="0.2">
      <c r="F830" s="32"/>
      <c r="G830" s="32"/>
    </row>
  </sheetData>
  <sheetProtection algorithmName="SHA-512" hashValue="0FGaXjqJOkrtZeXu6kB9JLMqozAPAMduu4AKwPevpJdRC/+T1ZyiJw+nsljGtlkyvVd6eGi1KUkWnvQ9ji+0xQ==" saltValue="AkZS60J6zioIdJ5Lp6B3tw==" spinCount="100000" sheet="1" objects="1" scenarios="1" selectLockedCells="1"/>
  <dataConsolidate function="stdDevp"/>
  <mergeCells count="6">
    <mergeCell ref="D24:E24"/>
    <mergeCell ref="C5:F5"/>
    <mergeCell ref="D3:E3"/>
    <mergeCell ref="D9:F9"/>
    <mergeCell ref="C6:F6"/>
    <mergeCell ref="C7:F7"/>
  </mergeCells>
  <phoneticPr fontId="1" type="noConversion"/>
  <conditionalFormatting sqref="D24:E24">
    <cfRule type="expression" dxfId="27" priority="18">
      <formula>$D$24="VER RESULTADO DO ORÇAMENTO NO SEPARADOR SEGUINTE"</formula>
    </cfRule>
  </conditionalFormatting>
  <conditionalFormatting sqref="E16">
    <cfRule type="expression" dxfId="26" priority="21">
      <formula>$F$15=92</formula>
    </cfRule>
  </conditionalFormatting>
  <conditionalFormatting sqref="E17">
    <cfRule type="expression" dxfId="25" priority="19">
      <formula>$F$11=6</formula>
    </cfRule>
    <cfRule type="expression" dxfId="24" priority="20">
      <formula>$F$11=5</formula>
    </cfRule>
  </conditionalFormatting>
  <conditionalFormatting sqref="E18">
    <cfRule type="expression" dxfId="23" priority="1">
      <formula>$F$13=74</formula>
    </cfRule>
    <cfRule type="expression" dxfId="22" priority="2">
      <formula>$F$13=73</formula>
    </cfRule>
    <cfRule type="expression" dxfId="21" priority="3">
      <formula>$F$13=71</formula>
    </cfRule>
    <cfRule type="expression" dxfId="20" priority="4">
      <formula>$F$13=64</formula>
    </cfRule>
    <cfRule type="expression" dxfId="19" priority="5">
      <formula>$F$13=63</formula>
    </cfRule>
    <cfRule type="expression" dxfId="18" priority="6">
      <formula>$F$13=61</formula>
    </cfRule>
    <cfRule type="expression" dxfId="17" priority="7">
      <formula>$F$13=54</formula>
    </cfRule>
    <cfRule type="expression" dxfId="16" priority="8">
      <formula>$F$13=53</formula>
    </cfRule>
    <cfRule type="expression" dxfId="15" priority="9">
      <formula>$F$13=51</formula>
    </cfRule>
    <cfRule type="expression" dxfId="14" priority="10">
      <formula>$F$13=44</formula>
    </cfRule>
    <cfRule type="expression" dxfId="13" priority="11">
      <formula>$F$13=43</formula>
    </cfRule>
    <cfRule type="expression" dxfId="12" priority="12">
      <formula>$F$13=41</formula>
    </cfRule>
    <cfRule type="expression" dxfId="11" priority="13">
      <formula>$F$13=24</formula>
    </cfRule>
    <cfRule type="expression" dxfId="10" priority="15">
      <formula>$F$13=23</formula>
    </cfRule>
    <cfRule type="expression" dxfId="9" priority="16">
      <formula>$F$13=21</formula>
    </cfRule>
  </conditionalFormatting>
  <dataValidations disablePrompts="1" count="4">
    <dataValidation type="list" allowBlank="1" showInputMessage="1" showErrorMessage="1" sqref="E11" xr:uid="{00000000-0002-0000-0000-000000000000}">
      <formula1>$B$33:$B$40</formula1>
    </dataValidation>
    <dataValidation type="list" showInputMessage="1" showErrorMessage="1" sqref="E20" xr:uid="{00000000-0002-0000-0000-000001000000}">
      <formula1>$B$100:$B$101</formula1>
    </dataValidation>
    <dataValidation type="list" showInputMessage="1" showErrorMessage="1" errorTitle="refazer cálculos" sqref="E13" xr:uid="{00000000-0002-0000-0000-000002000000}">
      <formula1>IF(F11=1,C46:C49,IF(F11=2,C51:C55,IF(F11=3,C57:C60,IF(F11=4,C62:C66,IF(F11=5,C68:C72,IF(F11=6,C74:C78,IF(F11=7,C80:C84,IF(F11=8,C86:C88,0))))))))</formula1>
    </dataValidation>
    <dataValidation type="list" showInputMessage="1" showErrorMessage="1" sqref="E22" xr:uid="{00000000-0002-0000-0000-000003000000}">
      <formula1>IF(F20=1,(E519:E824),(B133:B148))</formula1>
    </dataValidation>
  </dataValidations>
  <pageMargins left="0" right="0" top="0.39370078740157483" bottom="0" header="0" footer="0"/>
  <pageSetup paperSize="9" fitToWidth="0" fitToHeight="0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Y661"/>
  <sheetViews>
    <sheetView zoomScaleNormal="100" workbookViewId="0">
      <selection activeCell="O32" sqref="O32"/>
    </sheetView>
  </sheetViews>
  <sheetFormatPr defaultRowHeight="12.75" x14ac:dyDescent="0.2"/>
  <cols>
    <col min="1" max="1" width="3.28515625" customWidth="1"/>
    <col min="2" max="2" width="2.140625" customWidth="1"/>
    <col min="3" max="3" width="10" customWidth="1"/>
    <col min="4" max="11" width="13" customWidth="1"/>
    <col min="12" max="12" width="2.140625" customWidth="1"/>
    <col min="13" max="13" width="3.28515625" style="32" customWidth="1"/>
    <col min="14" max="14" width="8.5703125" style="32" customWidth="1"/>
    <col min="15" max="16" width="9.140625" style="32" customWidth="1"/>
    <col min="17" max="25" width="9.140625" style="32"/>
  </cols>
  <sheetData>
    <row r="1" spans="2:13" ht="13.5" thickBot="1" x14ac:dyDescent="0.25"/>
    <row r="2" spans="2:13" ht="11.25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3" ht="69.75" customHeight="1" x14ac:dyDescent="0.2">
      <c r="B3" s="10"/>
      <c r="C3" s="11"/>
      <c r="D3" s="122"/>
      <c r="E3" s="122"/>
      <c r="F3" s="122"/>
      <c r="G3" s="122"/>
      <c r="H3" s="122"/>
      <c r="I3" s="11"/>
      <c r="J3" s="11"/>
      <c r="K3" s="11"/>
      <c r="L3" s="12"/>
    </row>
    <row r="4" spans="2:13" x14ac:dyDescent="0.2"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13" ht="26.25" x14ac:dyDescent="0.4">
      <c r="B5" s="10"/>
      <c r="C5" s="121" t="s">
        <v>400</v>
      </c>
      <c r="D5" s="121"/>
      <c r="E5" s="121"/>
      <c r="F5" s="121"/>
      <c r="G5" s="121"/>
      <c r="H5" s="121"/>
      <c r="I5" s="121"/>
      <c r="J5" s="121"/>
      <c r="K5" s="121"/>
      <c r="L5" s="12"/>
    </row>
    <row r="6" spans="2:13" s="21" customFormat="1" ht="11.25" x14ac:dyDescent="0.2">
      <c r="B6" s="19"/>
      <c r="C6" s="22"/>
      <c r="D6" s="22"/>
      <c r="E6" s="22"/>
      <c r="F6" s="22"/>
      <c r="G6" s="22"/>
      <c r="H6" s="22"/>
      <c r="I6" s="22"/>
      <c r="J6" s="22"/>
      <c r="K6" s="22"/>
      <c r="L6" s="20"/>
    </row>
    <row r="7" spans="2:13" s="2" customFormat="1" ht="15" x14ac:dyDescent="0.2">
      <c r="B7" s="13"/>
      <c r="C7" s="14" t="s">
        <v>401</v>
      </c>
      <c r="D7" s="123">
        <f>'SIMULADOR - DADOS'!D9:F9</f>
        <v>0</v>
      </c>
      <c r="E7" s="123"/>
      <c r="F7" s="123"/>
      <c r="G7" s="123"/>
      <c r="H7" s="123"/>
      <c r="I7" s="123"/>
      <c r="J7" s="123"/>
      <c r="K7" s="123"/>
      <c r="L7" s="15"/>
      <c r="M7" s="5"/>
    </row>
    <row r="8" spans="2:13" s="2" customFormat="1" ht="15" x14ac:dyDescent="0.2">
      <c r="B8" s="13"/>
      <c r="C8" s="14"/>
      <c r="D8" s="22"/>
      <c r="E8" s="22"/>
      <c r="F8" s="22"/>
      <c r="G8" s="22"/>
      <c r="H8" s="22"/>
      <c r="I8" s="22"/>
      <c r="J8" s="22"/>
      <c r="K8" s="22"/>
      <c r="L8" s="15"/>
      <c r="M8" s="5"/>
    </row>
    <row r="9" spans="2:13" s="2" customFormat="1" ht="15" x14ac:dyDescent="0.2">
      <c r="B9" s="13"/>
      <c r="C9" s="14" t="s">
        <v>402</v>
      </c>
      <c r="D9" s="134">
        <f>'SIMULADOR - DADOS'!E13</f>
        <v>0</v>
      </c>
      <c r="E9" s="135"/>
      <c r="F9" s="53" t="s">
        <v>403</v>
      </c>
      <c r="G9" s="134">
        <f>'SIMULADOR - DADOS'!E11</f>
        <v>0</v>
      </c>
      <c r="H9" s="135"/>
      <c r="I9" s="53" t="s">
        <v>404</v>
      </c>
      <c r="J9" s="134">
        <f>'SIMULADOR - DADOS'!E22</f>
        <v>0</v>
      </c>
      <c r="K9" s="135"/>
      <c r="L9" s="15"/>
      <c r="M9" s="5"/>
    </row>
    <row r="10" spans="2:13" s="21" customFormat="1" ht="11.25" x14ac:dyDescent="0.2">
      <c r="B10" s="19"/>
      <c r="C10" s="71"/>
      <c r="D10" s="71"/>
      <c r="E10" s="71"/>
      <c r="F10" s="71"/>
      <c r="G10" s="71"/>
      <c r="H10" s="71"/>
      <c r="I10" s="71"/>
      <c r="J10" s="71"/>
      <c r="K10" s="86"/>
      <c r="L10" s="23"/>
      <c r="M10" s="24"/>
    </row>
    <row r="11" spans="2:13" s="2" customFormat="1" ht="15" x14ac:dyDescent="0.2">
      <c r="B11" s="13"/>
      <c r="C11" s="84" t="str">
        <f>IF(J11&gt;0,"Levantamento Topográfico:","")</f>
        <v>Levantamento Topográfico:</v>
      </c>
      <c r="D11" s="14"/>
      <c r="E11" s="14"/>
      <c r="F11" s="14"/>
      <c r="G11" s="14"/>
      <c r="H11" s="14"/>
      <c r="I11" s="14"/>
      <c r="J11" s="132" t="b">
        <f>IF('SIMULADOR - DADOS'!F13=11,'SIMULADOR - CUSTO PROJETOS'!H49,IF('SIMULADOR - DADOS'!F13=12,'SIMULADOR - CUSTO PROJETOS'!H66,IF('SIMULADOR - DADOS'!F13=13,'SIMULADOR - CUSTO PROJETOS'!H83,IF('SIMULADOR - DADOS'!F13=14,'SIMULADOR - CUSTO PROJETOS'!H100,IF('SIMULADOR - DADOS'!F13=21,'SIMULADOR - CUSTO PROJETOS'!H118,IF('SIMULADOR - DADOS'!F13=22,'SIMULADOR - CUSTO PROJETOS'!H135,IF('SIMULADOR - DADOS'!F13=23,'SIMULADOR - CUSTO PROJETOS'!H153,IF('SIMULADOR - DADOS'!F13=24,'SIMULADOR - CUSTO PROJETOS'!H171,IF('SIMULADOR - DADOS'!F13=25,'SIMULADOR - CUSTO PROJETOS'!H189,IF('SIMULADOR - DADOS'!F13=31,'SIMULADOR - CUSTO PROJETOS'!H206,IF('SIMULADOR - DADOS'!F13=32,'SIMULADOR - CUSTO PROJETOS'!H223,IF('SIMULADOR - DADOS'!F13=33,'SIMULADOR - CUSTO PROJETOS'!H240,IF('SIMULADOR - DADOS'!F13=34,'SIMULADOR - CUSTO PROJETOS'!H257,IF('SIMULADOR - DADOS'!F13=41,'SIMULADOR - CUSTO PROJETOS'!H275,IF('SIMULADOR - DADOS'!F13=42,'SIMULADOR - CUSTO PROJETOS'!H292,IF('SIMULADOR - DADOS'!F13=43,'SIMULADOR - CUSTO PROJETOS'!H310,IF('SIMULADOR - DADOS'!F13=44,'SIMULADOR - CUSTO PROJETOS'!H328,IF('SIMULADOR - DADOS'!F13=45,'SIMULADOR - CUSTO PROJETOS'!H346,IF('SIMULADOR - DADOS'!F13=51,'SIMULADOR - CUSTO PROJETOS'!H364,IF('SIMULADOR - DADOS'!F13=52,'SIMULADOR - CUSTO PROJETOS'!H382,IF('SIMULADOR - DADOS'!F13=53,'SIMULADOR - CUSTO PROJETOS'!H400,IF('SIMULADOR - DADOS'!F13=54,'SIMULADOR - CUSTO PROJETOS'!H418,IF('SIMULADOR - DADOS'!F13=55,'SIMULADOR - CUSTO PROJETOS'!H436,IF('SIMULADOR - DADOS'!F13=61,'SIMULADOR - CUSTO PROJETOS'!H454,IF('SIMULADOR - DADOS'!F13=62,'SIMULADOR - CUSTO PROJETOS'!H472,IF('SIMULADOR - DADOS'!F13=63,'SIMULADOR - CUSTO PROJETOS'!H490,IF('SIMULADOR - DADOS'!F13=64,'SIMULADOR - CUSTO PROJETOS'!H508,IF('SIMULADOR - DADOS'!F13=65,'SIMULADOR - CUSTO PROJETOS'!H526,IF('SIMULADOR - DADOS'!F13=71,'SIMULADOR - CUSTO PROJETOS'!H544,IF('SIMULADOR - DADOS'!F13=72,'SIMULADOR - CUSTO PROJETOS'!H562,IF('SIMULADOR - DADOS'!F13=73,'SIMULADOR - CUSTO PROJETOS'!H580,IF('SIMULADOR - DADOS'!F13=74,'SIMULADOR - CUSTO PROJETOS'!H598,IF('SIMULADOR - DADOS'!F13=75,'SIMULADOR - CUSTO PROJETOS'!H616,IF('SIMULADOR - DADOS'!F13=81,'SIMULADOR - CUSTO PROJETOS'!H634,IF('SIMULADOR - DADOS'!F13=83,'SIMULADOR - CUSTO PROJETOS'!H640,IF('SIMULADOR - DADOS'!F13=82,'SIMULADOR - CUSTO PROJETOS'!H647))))))))))))))))))))))))))))))))))))</f>
        <v>0</v>
      </c>
      <c r="K11" s="133"/>
      <c r="L11" s="15"/>
      <c r="M11" s="5"/>
    </row>
    <row r="12" spans="2:13" s="21" customFormat="1" ht="15" x14ac:dyDescent="0.2">
      <c r="B12" s="19"/>
      <c r="C12" s="71"/>
      <c r="D12" s="71"/>
      <c r="E12" s="71"/>
      <c r="F12" s="71"/>
      <c r="G12" s="71"/>
      <c r="H12" s="72"/>
      <c r="I12" s="71"/>
      <c r="J12" s="71"/>
      <c r="K12" s="71"/>
      <c r="L12" s="23"/>
      <c r="M12" s="24"/>
    </row>
    <row r="13" spans="2:13" s="2" customFormat="1" ht="15" x14ac:dyDescent="0.2">
      <c r="B13" s="13"/>
      <c r="C13" s="14" t="str">
        <f>IF('SIMULADOR - DADOS'!F13=83,"Arquitetura Paisagista:","Arquitetura:")</f>
        <v>Arquitetura:</v>
      </c>
      <c r="D13" s="14"/>
      <c r="E13" s="14"/>
      <c r="F13" s="14"/>
      <c r="G13" s="14"/>
      <c r="H13" s="14"/>
      <c r="I13" s="14"/>
      <c r="J13" s="132" t="b">
        <f>IF('SIMULADOR - DADOS'!F13=11,'SIMULADOR - CUSTO PROJETOS'!H50,IF('SIMULADOR - DADOS'!F13=12,'SIMULADOR - CUSTO PROJETOS'!H67,IF('SIMULADOR - DADOS'!F13=13,'SIMULADOR - CUSTO PROJETOS'!H84,IF('SIMULADOR - DADOS'!F13=14,'SIMULADOR - CUSTO PROJETOS'!H101,IF('SIMULADOR - DADOS'!F13=21,'SIMULADOR - CUSTO PROJETOS'!H119,IF('SIMULADOR - DADOS'!F13=22,'SIMULADOR - CUSTO PROJETOS'!H136,IF('SIMULADOR - DADOS'!F13=23,'SIMULADOR - CUSTO PROJETOS'!H154,IF('SIMULADOR - DADOS'!F13=24,'SIMULADOR - CUSTO PROJETOS'!H172,IF('SIMULADOR - DADOS'!F13=25,'SIMULADOR - CUSTO PROJETOS'!H190,IF('SIMULADOR - DADOS'!F13=31,'SIMULADOR - CUSTO PROJETOS'!H207,IF('SIMULADOR - DADOS'!F13=32,'SIMULADOR - CUSTO PROJETOS'!H224,IF('SIMULADOR - DADOS'!F13=33,'SIMULADOR - CUSTO PROJETOS'!H241,IF('SIMULADOR - DADOS'!F13=34,'SIMULADOR - CUSTO PROJETOS'!H258,IF('SIMULADOR - DADOS'!F13=41,'SIMULADOR - CUSTO PROJETOS'!H276,IF('SIMULADOR - DADOS'!F13=42,'SIMULADOR - CUSTO PROJETOS'!H293,IF('SIMULADOR - DADOS'!F13=43,'SIMULADOR - CUSTO PROJETOS'!H311,IF('SIMULADOR - DADOS'!F13=44,'SIMULADOR - CUSTO PROJETOS'!H329,IF('SIMULADOR - DADOS'!F13=45,'SIMULADOR - CUSTO PROJETOS'!H347,IF('SIMULADOR - DADOS'!F13=51,'SIMULADOR - CUSTO PROJETOS'!H365,IF('SIMULADOR - DADOS'!F13=52,'SIMULADOR - CUSTO PROJETOS'!H383,IF('SIMULADOR - DADOS'!F13=53,'SIMULADOR - CUSTO PROJETOS'!H401,IF('SIMULADOR - DADOS'!F13=54,'SIMULADOR - CUSTO PROJETOS'!H419,IF('SIMULADOR - DADOS'!F13=55,'SIMULADOR - CUSTO PROJETOS'!H437,IF('SIMULADOR - DADOS'!F13=61,'SIMULADOR - CUSTO PROJETOS'!H455,IF('SIMULADOR - DADOS'!F13=62,'SIMULADOR - CUSTO PROJETOS'!H473,IF('SIMULADOR - DADOS'!F13=63,'SIMULADOR - CUSTO PROJETOS'!H491,IF('SIMULADOR - DADOS'!F13=64,'SIMULADOR - CUSTO PROJETOS'!H509,IF('SIMULADOR - DADOS'!F13=65,'SIMULADOR - CUSTO PROJETOS'!H527,IF('SIMULADOR - DADOS'!F13=71,'SIMULADOR - CUSTO PROJETOS'!H545,IF('SIMULADOR - DADOS'!F13=72,'SIMULADOR - CUSTO PROJETOS'!H563,IF('SIMULADOR - DADOS'!F13=73,'SIMULADOR - CUSTO PROJETOS'!H581,IF('SIMULADOR - DADOS'!F13=74,'SIMULADOR - CUSTO PROJETOS'!H599,IF('SIMULADOR - DADOS'!F13=75,'SIMULADOR - CUSTO PROJETOS'!H617,IF('SIMULADOR - DADOS'!F13=81,'SIMULADOR - CUSTO PROJETOS'!H635,IF('SIMULADOR - DADOS'!F13=83,'SIMULADOR - CUSTO PROJETOS'!H641,IF('SIMULADOR - DADOS'!F13=82,'SIMULADOR - CUSTO PROJETOS'!H648))))))))))))))))))))))))))))))))))))</f>
        <v>0</v>
      </c>
      <c r="K13" s="133"/>
      <c r="L13" s="15"/>
      <c r="M13" s="5"/>
    </row>
    <row r="14" spans="2:13" s="21" customFormat="1" ht="15" x14ac:dyDescent="0.2">
      <c r="B14" s="19"/>
      <c r="C14" s="71"/>
      <c r="D14" s="71"/>
      <c r="E14" s="71"/>
      <c r="F14" s="71"/>
      <c r="G14" s="71"/>
      <c r="H14" s="72"/>
      <c r="I14" s="71"/>
      <c r="J14" s="71"/>
      <c r="K14" s="71"/>
      <c r="L14" s="23"/>
      <c r="M14" s="24"/>
    </row>
    <row r="15" spans="2:13" s="2" customFormat="1" ht="15" x14ac:dyDescent="0.2">
      <c r="B15" s="13"/>
      <c r="C15" s="16" t="str">
        <f>IF('SIMULADOR - DADOS'!F13=81,"",IF('SIMULADOR - DADOS'!F13=83,"","Especialidades ou Engenharia:"))</f>
        <v>Especialidades ou Engenharia:</v>
      </c>
      <c r="D15" s="17"/>
      <c r="E15" s="17"/>
      <c r="F15" s="17"/>
      <c r="G15" s="17"/>
      <c r="H15" s="130" t="str">
        <f>IF('SIMULADOR - DADOS'!F13=81,"",IF('SIMULADOR - DADOS'!F13=83,"",IF(SUM(J16:K23)=0,"Incluídas no Projeto de Execução de Arquitetura","")))</f>
        <v>Incluídas no Projeto de Execução de Arquitetura</v>
      </c>
      <c r="I15" s="131"/>
      <c r="J15" s="131"/>
      <c r="K15" s="131"/>
      <c r="L15" s="18"/>
      <c r="M15" s="5"/>
    </row>
    <row r="16" spans="2:13" s="2" customFormat="1" ht="15" x14ac:dyDescent="0.2">
      <c r="B16" s="13"/>
      <c r="C16" s="16"/>
      <c r="D16" s="54" t="str">
        <f>IF(J16&gt;0,IF('SIMULADOR - DADOS'!F13=82,"Rede Viária ou Arruamentos","Estabilidade ou Estruturas"),"")</f>
        <v>Estabilidade ou Estruturas</v>
      </c>
      <c r="E16" s="54"/>
      <c r="F16" s="17"/>
      <c r="G16" s="17"/>
      <c r="H16" s="39"/>
      <c r="I16" s="17"/>
      <c r="J16" s="132" t="b">
        <f>IF('SIMULADOR - DADOS'!F13=11,'SIMULADOR - CUSTO PROJETOS'!H51,IF('SIMULADOR - DADOS'!F13=12,'SIMULADOR - CUSTO PROJETOS'!H68,IF('SIMULADOR - DADOS'!F13=13,'SIMULADOR - CUSTO PROJETOS'!H85,IF('SIMULADOR - DADOS'!F13=14,'SIMULADOR - CUSTO PROJETOS'!H102,IF('SIMULADOR - DADOS'!F13=21,'SIMULADOR - CUSTO PROJETOS'!H120,IF('SIMULADOR - DADOS'!F13=22,'SIMULADOR - CUSTO PROJETOS'!H137,IF('SIMULADOR - DADOS'!F13=23,'SIMULADOR - CUSTO PROJETOS'!H155,IF('SIMULADOR - DADOS'!F13=24,'SIMULADOR - CUSTO PROJETOS'!H173,IF('SIMULADOR - DADOS'!F13=25,'SIMULADOR - CUSTO PROJETOS'!H191,IF('SIMULADOR - DADOS'!F13=31,'SIMULADOR - CUSTO PROJETOS'!H208,IF('SIMULADOR - DADOS'!F13=32,'SIMULADOR - CUSTO PROJETOS'!H225,IF('SIMULADOR - DADOS'!F13=33,'SIMULADOR - CUSTO PROJETOS'!H242,IF('SIMULADOR - DADOS'!F13=34,'SIMULADOR - CUSTO PROJETOS'!H259,IF('SIMULADOR - DADOS'!F13=41,'SIMULADOR - CUSTO PROJETOS'!H277,IF('SIMULADOR - DADOS'!F13=42,'SIMULADOR - CUSTO PROJETOS'!H294,IF('SIMULADOR - DADOS'!F13=43,'SIMULADOR - CUSTO PROJETOS'!H312,IF('SIMULADOR - DADOS'!F13=44,'SIMULADOR - CUSTO PROJETOS'!H330,IF('SIMULADOR - DADOS'!F13=45,'SIMULADOR - CUSTO PROJETOS'!H348,IF('SIMULADOR - DADOS'!F13=51,'SIMULADOR - CUSTO PROJETOS'!H366,IF('SIMULADOR - DADOS'!F13=52,'SIMULADOR - CUSTO PROJETOS'!H384,IF('SIMULADOR - DADOS'!F13=53,'SIMULADOR - CUSTO PROJETOS'!H402,IF('SIMULADOR - DADOS'!F13=54,'SIMULADOR - CUSTO PROJETOS'!H420,IF('SIMULADOR - DADOS'!F13=55,'SIMULADOR - CUSTO PROJETOS'!H438,IF('SIMULADOR - DADOS'!F13=61,'SIMULADOR - CUSTO PROJETOS'!H456,IF('SIMULADOR - DADOS'!F13=62,'SIMULADOR - CUSTO PROJETOS'!H474,IF('SIMULADOR - DADOS'!F13=63,'SIMULADOR - CUSTO PROJETOS'!H492,IF('SIMULADOR - DADOS'!F13=64,'SIMULADOR - CUSTO PROJETOS'!H510,IF('SIMULADOR - DADOS'!F13=65,'SIMULADOR - CUSTO PROJETOS'!H528,IF('SIMULADOR - DADOS'!F13=71,'SIMULADOR - CUSTO PROJETOS'!H546,IF('SIMULADOR - DADOS'!F13=72,'SIMULADOR - CUSTO PROJETOS'!H564,IF('SIMULADOR - DADOS'!F13=73,'SIMULADOR - CUSTO PROJETOS'!H582,IF('SIMULADOR - DADOS'!F13=74,'SIMULADOR - CUSTO PROJETOS'!H600,IF('SIMULADOR - DADOS'!F13=75,'SIMULADOR - CUSTO PROJETOS'!H618,IF('SIMULADOR - DADOS'!F13=81,'SIMULADOR - CUSTO PROJETOS'!H636,IF('SIMULADOR - DADOS'!F13=83,'SIMULADOR - CUSTO PROJETOS'!H642,IF('SIMULADOR - DADOS'!F13=82,'SIMULADOR - CUSTO PROJETOS'!H649))))))))))))))))))))))))))))))))))))</f>
        <v>0</v>
      </c>
      <c r="K16" s="133"/>
      <c r="L16" s="18"/>
      <c r="M16" s="5"/>
    </row>
    <row r="17" spans="2:13" s="2" customFormat="1" ht="15" x14ac:dyDescent="0.2">
      <c r="B17" s="13"/>
      <c r="C17" s="16"/>
      <c r="D17" s="54" t="str">
        <f>IF(J17&gt;0,"Rede Drenagem Águas residuais (domésticas e pluviais)","")</f>
        <v>Rede Drenagem Águas residuais (domésticas e pluviais)</v>
      </c>
      <c r="E17" s="54"/>
      <c r="F17" s="17"/>
      <c r="G17" s="17"/>
      <c r="H17" s="40"/>
      <c r="I17" s="17"/>
      <c r="J17" s="132" t="b">
        <f>IF('SIMULADOR - DADOS'!F13=11,'SIMULADOR - CUSTO PROJETOS'!H52,IF('SIMULADOR - DADOS'!F13=12,'SIMULADOR - CUSTO PROJETOS'!H69,IF('SIMULADOR - DADOS'!F13=13,'SIMULADOR - CUSTO PROJETOS'!H86,IF('SIMULADOR - DADOS'!F13=14,'SIMULADOR - CUSTO PROJETOS'!H103,IF('SIMULADOR - DADOS'!F13=21,'SIMULADOR - CUSTO PROJETOS'!H121,IF('SIMULADOR - DADOS'!F13=22,'SIMULADOR - CUSTO PROJETOS'!H138,IF('SIMULADOR - DADOS'!F13=23,'SIMULADOR - CUSTO PROJETOS'!H156,IF('SIMULADOR - DADOS'!F13=24,'SIMULADOR - CUSTO PROJETOS'!H174,IF('SIMULADOR - DADOS'!F13=25,'SIMULADOR - CUSTO PROJETOS'!H192,IF('SIMULADOR - DADOS'!F13=31,'SIMULADOR - CUSTO PROJETOS'!H209,IF('SIMULADOR - DADOS'!F13=32,'SIMULADOR - CUSTO PROJETOS'!H226,IF('SIMULADOR - DADOS'!F13=33,'SIMULADOR - CUSTO PROJETOS'!H243,IF('SIMULADOR - DADOS'!F13=34,'SIMULADOR - CUSTO PROJETOS'!H260,IF('SIMULADOR - DADOS'!F13=41,'SIMULADOR - CUSTO PROJETOS'!H278,IF('SIMULADOR - DADOS'!F13=42,'SIMULADOR - CUSTO PROJETOS'!H295,IF('SIMULADOR - DADOS'!F13=43,'SIMULADOR - CUSTO PROJETOS'!H313,IF('SIMULADOR - DADOS'!F13=44,'SIMULADOR - CUSTO PROJETOS'!H331,IF('SIMULADOR - DADOS'!F13=45,'SIMULADOR - CUSTO PROJETOS'!H349,IF('SIMULADOR - DADOS'!F13=51,'SIMULADOR - CUSTO PROJETOS'!H367,IF('SIMULADOR - DADOS'!F13=52,'SIMULADOR - CUSTO PROJETOS'!H385,IF('SIMULADOR - DADOS'!F13=53,'SIMULADOR - CUSTO PROJETOS'!H403,IF('SIMULADOR - DADOS'!F13=54,'SIMULADOR - CUSTO PROJETOS'!H421,IF('SIMULADOR - DADOS'!F13=55,'SIMULADOR - CUSTO PROJETOS'!H439,IF('SIMULADOR - DADOS'!F13=61,'SIMULADOR - CUSTO PROJETOS'!H457,IF('SIMULADOR - DADOS'!F13=62,'SIMULADOR - CUSTO PROJETOS'!H475,IF('SIMULADOR - DADOS'!F13=63,'SIMULADOR - CUSTO PROJETOS'!H493,IF('SIMULADOR - DADOS'!F13=64,'SIMULADOR - CUSTO PROJETOS'!H511,IF('SIMULADOR - DADOS'!F13=65,'SIMULADOR - CUSTO PROJETOS'!H529,IF('SIMULADOR - DADOS'!F13=71,'SIMULADOR - CUSTO PROJETOS'!H547,IF('SIMULADOR - DADOS'!F13=72,'SIMULADOR - CUSTO PROJETOS'!H565,IF('SIMULADOR - DADOS'!F13=73,'SIMULADOR - CUSTO PROJETOS'!H583,IF('SIMULADOR - DADOS'!F13=74,'SIMULADOR - CUSTO PROJETOS'!H601,IF('SIMULADOR - DADOS'!F13=75,'SIMULADOR - CUSTO PROJETOS'!H619,IF('SIMULADOR - DADOS'!F13=81,'SIMULADOR - CUSTO PROJETOS'!H636,IF('SIMULADOR - DADOS'!F13=83,'SIMULADOR - CUSTO PROJETOS'!H642,IF('SIMULADOR - DADOS'!F13=82,'SIMULADOR - CUSTO PROJETOS'!H650))))))))))))))))))))))))))))))))))))</f>
        <v>0</v>
      </c>
      <c r="K17" s="133"/>
      <c r="L17" s="18"/>
      <c r="M17" s="5"/>
    </row>
    <row r="18" spans="2:13" s="2" customFormat="1" ht="15" x14ac:dyDescent="0.2">
      <c r="B18" s="13"/>
      <c r="C18" s="16"/>
      <c r="D18" s="54" t="str">
        <f>IF(J18&gt;0,"Rede de Abastecimento de água","")</f>
        <v>Rede de Abastecimento de água</v>
      </c>
      <c r="E18" s="54"/>
      <c r="F18" s="17"/>
      <c r="G18" s="17"/>
      <c r="H18" s="40"/>
      <c r="I18" s="17"/>
      <c r="J18" s="132" t="b">
        <f>IF('SIMULADOR - DADOS'!F13=11,'SIMULADOR - CUSTO PROJETOS'!H53,IF('SIMULADOR - DADOS'!F13=12,'SIMULADOR - CUSTO PROJETOS'!H70,IF('SIMULADOR - DADOS'!F13=13,'SIMULADOR - CUSTO PROJETOS'!H87,IF('SIMULADOR - DADOS'!F13=14,'SIMULADOR - CUSTO PROJETOS'!H104,IF('SIMULADOR - DADOS'!F13=21,'SIMULADOR - CUSTO PROJETOS'!H122,IF('SIMULADOR - DADOS'!F13=22,'SIMULADOR - CUSTO PROJETOS'!H139,IF('SIMULADOR - DADOS'!F13=23,'SIMULADOR - CUSTO PROJETOS'!H157,IF('SIMULADOR - DADOS'!F13=24,'SIMULADOR - CUSTO PROJETOS'!H175,IF('SIMULADOR - DADOS'!F13=25,'SIMULADOR - CUSTO PROJETOS'!H193,IF('SIMULADOR - DADOS'!F13=31,'SIMULADOR - CUSTO PROJETOS'!H210,IF('SIMULADOR - DADOS'!F13=32,'SIMULADOR - CUSTO PROJETOS'!H227,IF('SIMULADOR - DADOS'!F13=33,'SIMULADOR - CUSTO PROJETOS'!H244,IF('SIMULADOR - DADOS'!F13=34,'SIMULADOR - CUSTO PROJETOS'!H261,IF('SIMULADOR - DADOS'!F13=41,'SIMULADOR - CUSTO PROJETOS'!H279,IF('SIMULADOR - DADOS'!F13=42,'SIMULADOR - CUSTO PROJETOS'!H296,IF('SIMULADOR - DADOS'!F13=43,'SIMULADOR - CUSTO PROJETOS'!H314,IF('SIMULADOR - DADOS'!F13=44,'SIMULADOR - CUSTO PROJETOS'!H332,IF('SIMULADOR - DADOS'!F13=45,'SIMULADOR - CUSTO PROJETOS'!H350,IF('SIMULADOR - DADOS'!F13=51,'SIMULADOR - CUSTO PROJETOS'!H368,IF('SIMULADOR - DADOS'!F13=52,'SIMULADOR - CUSTO PROJETOS'!H386,IF('SIMULADOR - DADOS'!F13=53,'SIMULADOR - CUSTO PROJETOS'!H404,IF('SIMULADOR - DADOS'!F13=54,'SIMULADOR - CUSTO PROJETOS'!H422,IF('SIMULADOR - DADOS'!F13=55,'SIMULADOR - CUSTO PROJETOS'!H440,IF('SIMULADOR - DADOS'!F13=61,'SIMULADOR - CUSTO PROJETOS'!H458,IF('SIMULADOR - DADOS'!F13=62,'SIMULADOR - CUSTO PROJETOS'!H476,IF('SIMULADOR - DADOS'!F13=63,'SIMULADOR - CUSTO PROJETOS'!H494,IF('SIMULADOR - DADOS'!F13=64,'SIMULADOR - CUSTO PROJETOS'!H512,IF('SIMULADOR - DADOS'!F13=65,'SIMULADOR - CUSTO PROJETOS'!H530,IF('SIMULADOR - DADOS'!F13=71,'SIMULADOR - CUSTO PROJETOS'!H548,IF('SIMULADOR - DADOS'!F13=72,'SIMULADOR - CUSTO PROJETOS'!H566,IF('SIMULADOR - DADOS'!F13=73,'SIMULADOR - CUSTO PROJETOS'!H584,IF('SIMULADOR - DADOS'!F13=74,'SIMULADOR - CUSTO PROJETOS'!H602,IF('SIMULADOR - DADOS'!F13=75,'SIMULADOR - CUSTO PROJETOS'!H620,IF('SIMULADOR - DADOS'!F13=81,'SIMULADOR - CUSTO PROJETOS'!H636,IF('SIMULADOR - DADOS'!F13=83,'SIMULADOR - CUSTO PROJETOS'!H642,IF('SIMULADOR - DADOS'!F13=82,'SIMULADOR - CUSTO PROJETOS'!H651))))))))))))))))))))))))))))))))))))</f>
        <v>0</v>
      </c>
      <c r="K18" s="133"/>
      <c r="L18" s="18"/>
      <c r="M18" s="5"/>
    </row>
    <row r="19" spans="2:13" s="2" customFormat="1" ht="15" x14ac:dyDescent="0.2">
      <c r="B19" s="13"/>
      <c r="C19" s="16"/>
      <c r="D19" s="54" t="str">
        <f>IF(J19&gt;0,"Condicionamento Acústico","")</f>
        <v>Condicionamento Acústico</v>
      </c>
      <c r="E19" s="54"/>
      <c r="F19" s="17"/>
      <c r="G19" s="17"/>
      <c r="H19" s="40"/>
      <c r="I19" s="17"/>
      <c r="J19" s="132" t="b">
        <f>IF('SIMULADOR - DADOS'!F13=11,'SIMULADOR - CUSTO PROJETOS'!H54,IF('SIMULADOR - DADOS'!F13=12,'SIMULADOR - CUSTO PROJETOS'!H71,IF('SIMULADOR - DADOS'!F13=13,'SIMULADOR - CUSTO PROJETOS'!H88,IF('SIMULADOR - DADOS'!F13=14,'SIMULADOR - CUSTO PROJETOS'!H105,IF('SIMULADOR - DADOS'!F13=21,'SIMULADOR - CUSTO PROJETOS'!H123,IF('SIMULADOR - DADOS'!F13=22,'SIMULADOR - CUSTO PROJETOS'!H140,IF('SIMULADOR - DADOS'!F13=23,'SIMULADOR - CUSTO PROJETOS'!H158,IF('SIMULADOR - DADOS'!F13=24,'SIMULADOR - CUSTO PROJETOS'!H176,IF('SIMULADOR - DADOS'!F13=25,'SIMULADOR - CUSTO PROJETOS'!H194,IF('SIMULADOR - DADOS'!F13=31,'SIMULADOR - CUSTO PROJETOS'!H211,IF('SIMULADOR - DADOS'!F13=32,'SIMULADOR - CUSTO PROJETOS'!H228,IF('SIMULADOR - DADOS'!F13=33,'SIMULADOR - CUSTO PROJETOS'!H245,IF('SIMULADOR - DADOS'!F13=34,'SIMULADOR - CUSTO PROJETOS'!H262,IF('SIMULADOR - DADOS'!F13=41,'SIMULADOR - CUSTO PROJETOS'!H280,IF('SIMULADOR - DADOS'!F13=42,'SIMULADOR - CUSTO PROJETOS'!H297,IF('SIMULADOR - DADOS'!F13=43,'SIMULADOR - CUSTO PROJETOS'!H315,IF('SIMULADOR - DADOS'!F13=44,'SIMULADOR - CUSTO PROJETOS'!H333,IF('SIMULADOR - DADOS'!F13=45,'SIMULADOR - CUSTO PROJETOS'!H351,IF('SIMULADOR - DADOS'!F13=51,'SIMULADOR - CUSTO PROJETOS'!H369,IF('SIMULADOR - DADOS'!F13=52,'SIMULADOR - CUSTO PROJETOS'!H387,IF('SIMULADOR - DADOS'!F13=53,'SIMULADOR - CUSTO PROJETOS'!H405,IF('SIMULADOR - DADOS'!F13=54,'SIMULADOR - CUSTO PROJETOS'!H423,IF('SIMULADOR - DADOS'!F13=55,'SIMULADOR - CUSTO PROJETOS'!H441,IF('SIMULADOR - DADOS'!F13=61,'SIMULADOR - CUSTO PROJETOS'!H459,IF('SIMULADOR - DADOS'!F13=62,'SIMULADOR - CUSTO PROJETOS'!H477,IF('SIMULADOR - DADOS'!F13=63,'SIMULADOR - CUSTO PROJETOS'!H495,IF('SIMULADOR - DADOS'!F13=64,'SIMULADOR - CUSTO PROJETOS'!H513,IF('SIMULADOR - DADOS'!F13=65,'SIMULADOR - CUSTO PROJETOS'!H531,IF('SIMULADOR - DADOS'!F13=71,'SIMULADOR - CUSTO PROJETOS'!H549,IF('SIMULADOR - DADOS'!F13=72,'SIMULADOR - CUSTO PROJETOS'!H567,IF('SIMULADOR - DADOS'!F13=73,'SIMULADOR - CUSTO PROJETOS'!H585,IF('SIMULADOR - DADOS'!F13=74,'SIMULADOR - CUSTO PROJETOS'!H603,IF('SIMULADOR - DADOS'!F13=75,'SIMULADOR - CUSTO PROJETOS'!H621,IF('SIMULADOR - DADOS'!F13=81,'SIMULADOR - CUSTO PROJETOS'!H636,IF('SIMULADOR - DADOS'!F13=83,'SIMULADOR - CUSTO PROJETOS'!H642,IF('SIMULADOR - DADOS'!F13=82,'SIMULADOR - CUSTO PROJETOS'!H652))))))))))))))))))))))))))))))))))))</f>
        <v>0</v>
      </c>
      <c r="K19" s="133"/>
      <c r="L19" s="18"/>
      <c r="M19" s="5"/>
    </row>
    <row r="20" spans="2:13" s="2" customFormat="1" ht="15" x14ac:dyDescent="0.2">
      <c r="B20" s="13"/>
      <c r="C20" s="16"/>
      <c r="D20" s="54" t="str">
        <f>IF(J20&gt;0,"Comportamento Térmico (REH) + certificação energética","")</f>
        <v>Comportamento Térmico (REH) + certificação energética</v>
      </c>
      <c r="E20" s="54"/>
      <c r="F20" s="17"/>
      <c r="G20" s="17"/>
      <c r="H20" s="40"/>
      <c r="I20" s="17"/>
      <c r="J20" s="132" t="b">
        <f>IF('SIMULADOR - DADOS'!F13=11,'SIMULADOR - CUSTO PROJETOS'!H55,IF('SIMULADOR - DADOS'!F13=12,'SIMULADOR - CUSTO PROJETOS'!H72,IF('SIMULADOR - DADOS'!F13=13,'SIMULADOR - CUSTO PROJETOS'!H89,IF('SIMULADOR - DADOS'!F13=14,'SIMULADOR - CUSTO PROJETOS'!H106,IF('SIMULADOR - DADOS'!F13=21,'SIMULADOR - CUSTO PROJETOS'!H124,IF('SIMULADOR - DADOS'!F13=22,'SIMULADOR - CUSTO PROJETOS'!H141,IF('SIMULADOR - DADOS'!F13=23,'SIMULADOR - CUSTO PROJETOS'!H159,IF('SIMULADOR - DADOS'!F13=24,'SIMULADOR - CUSTO PROJETOS'!H177,IF('SIMULADOR - DADOS'!F13=25,'SIMULADOR - CUSTO PROJETOS'!H195,IF('SIMULADOR - DADOS'!F13=31,'SIMULADOR - CUSTO PROJETOS'!H212,IF('SIMULADOR - DADOS'!F13=32,'SIMULADOR - CUSTO PROJETOS'!H229,IF('SIMULADOR - DADOS'!F13=33,'SIMULADOR - CUSTO PROJETOS'!H246,IF('SIMULADOR - DADOS'!F13=34,'SIMULADOR - CUSTO PROJETOS'!H263,IF('SIMULADOR - DADOS'!F13=41,'SIMULADOR - CUSTO PROJETOS'!H281,IF('SIMULADOR - DADOS'!F13=42,'SIMULADOR - CUSTO PROJETOS'!H298,IF('SIMULADOR - DADOS'!F13=43,'SIMULADOR - CUSTO PROJETOS'!H316,IF('SIMULADOR - DADOS'!F13=44,'SIMULADOR - CUSTO PROJETOS'!H334,IF('SIMULADOR - DADOS'!F13=45,'SIMULADOR - CUSTO PROJETOS'!H352,IF('SIMULADOR - DADOS'!F13=51,'SIMULADOR - CUSTO PROJETOS'!H370,IF('SIMULADOR - DADOS'!F13=52,'SIMULADOR - CUSTO PROJETOS'!H388,IF('SIMULADOR - DADOS'!F13=53,'SIMULADOR - CUSTO PROJETOS'!H406,IF('SIMULADOR - DADOS'!F13=54,'SIMULADOR - CUSTO PROJETOS'!H424,IF('SIMULADOR - DADOS'!F13=55,'SIMULADOR - CUSTO PROJETOS'!H443,IF('SIMULADOR - DADOS'!F13=61,'SIMULADOR - CUSTO PROJETOS'!H460,IF('SIMULADOR - DADOS'!F13=62,'SIMULADOR - CUSTO PROJETOS'!H478,IF('SIMULADOR - DADOS'!F13=63,'SIMULADOR - CUSTO PROJETOS'!H496,IF('SIMULADOR - DADOS'!F13=64,'SIMULADOR - CUSTO PROJETOS'!H514,IF('SIMULADOR - DADOS'!F13=65,'SIMULADOR - CUSTO PROJETOS'!H532,IF('SIMULADOR - DADOS'!F13=71,'SIMULADOR - CUSTO PROJETOS'!H550,IF('SIMULADOR - DADOS'!F13=72,'SIMULADOR - CUSTO PROJETOS'!H568,IF('SIMULADOR - DADOS'!F13=73,'SIMULADOR - CUSTO PROJETOS'!H586,IF('SIMULADOR - DADOS'!F13=74,'SIMULADOR - CUSTO PROJETOS'!H604,IF('SIMULADOR - DADOS'!F13=75,'SIMULADOR - CUSTO PROJETOS'!H622,IF('SIMULADOR - DADOS'!F13=81,'SIMULADOR - CUSTO PROJETOS'!H636,IF('SIMULADOR - DADOS'!F13=83,'SIMULADOR - CUSTO PROJETOS'!H642,IF('SIMULADOR - DADOS'!F13=82,'SIMULADOR - CUSTO PROJETOS'!H652))))))))))))))))))))))))))))))))))))</f>
        <v>0</v>
      </c>
      <c r="K20" s="133"/>
      <c r="L20" s="18"/>
      <c r="M20" s="5"/>
    </row>
    <row r="21" spans="2:13" s="2" customFormat="1" ht="15" x14ac:dyDescent="0.2">
      <c r="B21" s="13"/>
      <c r="C21" s="16"/>
      <c r="D21" s="54" t="str">
        <f>IF(J21&gt;0,"Comportamento Térmico (RECS) + certificação energética","")</f>
        <v>Comportamento Térmico (RECS) + certificação energética</v>
      </c>
      <c r="E21" s="54"/>
      <c r="F21" s="17"/>
      <c r="G21" s="17"/>
      <c r="H21" s="40"/>
      <c r="I21" s="17"/>
      <c r="J21" s="128" t="b">
        <f>IF('SIMULADOR - DADOS'!F13=11,'SIMULADOR - CUSTO PROJETOS'!H56,IF('SIMULADOR - DADOS'!F13=12,'SIMULADOR - CUSTO PROJETOS'!H73,IF('SIMULADOR - DADOS'!F13=13,'SIMULADOR - CUSTO PROJETOS'!H90,IF('SIMULADOR - DADOS'!F13=14,'SIMULADOR - CUSTO PROJETOS'!H107,IF('SIMULADOR - DADOS'!F13=21,'SIMULADOR - CUSTO PROJETOS'!H125,IF('SIMULADOR - DADOS'!F13=22,'SIMULADOR - CUSTO PROJETOS'!H142,IF('SIMULADOR - DADOS'!F13=23,'SIMULADOR - CUSTO PROJETOS'!H160,IF('SIMULADOR - DADOS'!F13=24,'SIMULADOR - CUSTO PROJETOS'!H178,IF('SIMULADOR - DADOS'!F13=25,'SIMULADOR - CUSTO PROJETOS'!H196,IF('SIMULADOR - DADOS'!F13=31,'SIMULADOR - CUSTO PROJETOS'!H213,IF('SIMULADOR - DADOS'!F13=32,'SIMULADOR - CUSTO PROJETOS'!H230,IF('SIMULADOR - DADOS'!F13=33,'SIMULADOR - CUSTO PROJETOS'!H247,IF('SIMULADOR - DADOS'!F13=34,'SIMULADOR - CUSTO PROJETOS'!H264,IF('SIMULADOR - DADOS'!F13=41,'SIMULADOR - CUSTO PROJETOS'!H282,IF('SIMULADOR - DADOS'!F13=42,'SIMULADOR - CUSTO PROJETOS'!H299,IF('SIMULADOR - DADOS'!F13=43,'SIMULADOR - CUSTO PROJETOS'!H317,IF('SIMULADOR - DADOS'!F13=44,'SIMULADOR - CUSTO PROJETOS'!H335,IF('SIMULADOR - DADOS'!F13=45,'SIMULADOR - CUSTO PROJETOS'!H353,IF('SIMULADOR - DADOS'!F13=51,'SIMULADOR - CUSTO PROJETOS'!H371,IF('SIMULADOR - DADOS'!F13=52,'SIMULADOR - CUSTO PROJETOS'!H389,IF('SIMULADOR - DADOS'!F13=53,'SIMULADOR - CUSTO PROJETOS'!H407,IF('SIMULADOR - DADOS'!F13=54,'SIMULADOR - CUSTO PROJETOS'!H425,IF('SIMULADOR - DADOS'!F13=55,'SIMULADOR - CUSTO PROJETOS'!H444,IF('SIMULADOR - DADOS'!F13=61,'SIMULADOR - CUSTO PROJETOS'!H461,IF('SIMULADOR - DADOS'!F13=62,'SIMULADOR - CUSTO PROJETOS'!H479,IF('SIMULADOR - DADOS'!F13=63,'SIMULADOR - CUSTO PROJETOS'!H497,IF('SIMULADOR - DADOS'!F13=64,'SIMULADOR - CUSTO PROJETOS'!H515,IF('SIMULADOR - DADOS'!F13=65,'SIMULADOR - CUSTO PROJETOS'!H533,IF('SIMULADOR - DADOS'!F13=71,'SIMULADOR - CUSTO PROJETOS'!H551,IF('SIMULADOR - DADOS'!F13=72,'SIMULADOR - CUSTO PROJETOS'!H569,IF('SIMULADOR - DADOS'!F13=73,'SIMULADOR - CUSTO PROJETOS'!H587,IF('SIMULADOR - DADOS'!F13=74,'SIMULADOR - CUSTO PROJETOS'!H605,IF('SIMULADOR - DADOS'!F13=75,'SIMULADOR - CUSTO PROJETOS'!H623,IF('SIMULADOR - DADOS'!F13=81,'SIMULADOR - CUSTO PROJETOS'!H636,IF('SIMULADOR - DADOS'!F13=83,'SIMULADOR - CUSTO PROJETOS'!H642,IF('SIMULADOR - DADOS'!F13=82,'SIMULADOR - CUSTO PROJETOS'!H652))))))))))))))))))))))))))))))))))))</f>
        <v>0</v>
      </c>
      <c r="K21" s="129"/>
      <c r="L21" s="18"/>
      <c r="M21" s="5"/>
    </row>
    <row r="22" spans="2:13" s="2" customFormat="1" ht="15" x14ac:dyDescent="0.2">
      <c r="B22" s="13"/>
      <c r="C22" s="16"/>
      <c r="D22" s="54" t="str">
        <f>IF(J22&gt;0,"Segurança Contra Incêndio","")</f>
        <v>Segurança Contra Incêndio</v>
      </c>
      <c r="E22" s="54"/>
      <c r="F22" s="17"/>
      <c r="G22" s="17"/>
      <c r="H22" s="40"/>
      <c r="I22" s="17"/>
      <c r="J22" s="132" t="b">
        <f>IF('SIMULADOR - DADOS'!F13=11,'SIMULADOR - CUSTO PROJETOS'!H57, IF('SIMULADOR - DADOS'!F13=12,'SIMULADOR - CUSTO PROJETOS'!H74,IF('SIMULADOR - DADOS'!F13=13,'SIMULADOR - CUSTO PROJETOS'!H91,IF('SIMULADOR - DADOS'!F13=14,'SIMULADOR - CUSTO PROJETOS'!H108,IF('SIMULADOR - DADOS'!F13=21,'SIMULADOR - CUSTO PROJETOS'!H126,IF('SIMULADOR - DADOS'!F13=22,'SIMULADOR - CUSTO PROJETOS'!H143,IF('SIMULADOR - DADOS'!F13=23,'SIMULADOR - CUSTO PROJETOS'!H161,IF('SIMULADOR - DADOS'!F13=24,'SIMULADOR - CUSTO PROJETOS'!H179,IF('SIMULADOR - DADOS'!F13=25,'SIMULADOR - CUSTO PROJETOS'!H197,IF('SIMULADOR - DADOS'!F13=31,'SIMULADOR - CUSTO PROJETOS'!H214,IF('SIMULADOR - DADOS'!F13=32,'SIMULADOR - CUSTO PROJETOS'!H231,IF('SIMULADOR - DADOS'!F13=33,'SIMULADOR - CUSTO PROJETOS'!H248,IF('SIMULADOR - DADOS'!F13=34,'SIMULADOR - CUSTO PROJETOS'!H265,IF('SIMULADOR - DADOS'!F13=41,'SIMULADOR - CUSTO PROJETOS'!H283,IF('SIMULADOR - DADOS'!F13=42,'SIMULADOR - CUSTO PROJETOS'!H300,IF('SIMULADOR - DADOS'!F13=43,'SIMULADOR - CUSTO PROJETOS'!H318,IF('SIMULADOR - DADOS'!F13=44,'SIMULADOR - CUSTO PROJETOS'!H336,IF('SIMULADOR - DADOS'!F13=45,'SIMULADOR - CUSTO PROJETOS'!H354,IF('SIMULADOR - DADOS'!F13=51,'SIMULADOR - CUSTO PROJETOS'!H372,IF('SIMULADOR - DADOS'!F13=52,'SIMULADOR - CUSTO PROJETOS'!H390,IF('SIMULADOR - DADOS'!F13=53,'SIMULADOR - CUSTO PROJETOS'!H408,IF('SIMULADOR - DADOS'!F13=54,'SIMULADOR - CUSTO PROJETOS'!H426,IF('SIMULADOR - DADOS'!F13=55,'SIMULADOR - CUSTO PROJETOS'!H445,IF('SIMULADOR - DADOS'!F13=61,'SIMULADOR - CUSTO PROJETOS'!H462,IF('SIMULADOR - DADOS'!F13=62,'SIMULADOR - CUSTO PROJETOS'!H480,IF('SIMULADOR - DADOS'!F13=63,'SIMULADOR - CUSTO PROJETOS'!H498,IF('SIMULADOR - DADOS'!F13=64,'SIMULADOR - CUSTO PROJETOS'!H516,IF('SIMULADOR - DADOS'!F13=65,'SIMULADOR - CUSTO PROJETOS'!H534,IF('SIMULADOR - DADOS'!F13=71,'SIMULADOR - CUSTO PROJETOS'!H552,IF('SIMULADOR - DADOS'!F13=72,'SIMULADOR - CUSTO PROJETOS'!H570,IF('SIMULADOR - DADOS'!F13=73,'SIMULADOR - CUSTO PROJETOS'!H588,IF('SIMULADOR - DADOS'!F13=74,'SIMULADOR - CUSTO PROJETOS'!H606,IF('SIMULADOR - DADOS'!F13=75,'SIMULADOR - CUSTO PROJETOS'!H624,IF('SIMULADOR - DADOS'!F13=81,'SIMULADOR - CUSTO PROJETOS'!H636,IF('SIMULADOR - DADOS'!F13=83,'SIMULADOR - CUSTO PROJETOS'!H642,IF('SIMULADOR - DADOS'!F13=82,'SIMULADOR - CUSTO PROJETOS'!H653))))))))))))))))))))))))))))))))))))</f>
        <v>0</v>
      </c>
      <c r="K22" s="133"/>
      <c r="L22" s="18"/>
      <c r="M22" s="5"/>
    </row>
    <row r="23" spans="2:13" s="2" customFormat="1" ht="15" x14ac:dyDescent="0.2">
      <c r="B23" s="13"/>
      <c r="C23" s="16"/>
      <c r="D23" s="54" t="str">
        <f>IF(J23&gt;0,(IF('SIMULADOR - DADOS'!F13=82,"Rede de Eletricidade, ITUR e Gás","Rede de Eletricidade, ITED e Gás")),"")</f>
        <v>Rede de Eletricidade, ITED e Gás</v>
      </c>
      <c r="E23" s="54"/>
      <c r="F23" s="17"/>
      <c r="G23" s="17"/>
      <c r="H23" s="40"/>
      <c r="I23" s="17"/>
      <c r="J23" s="128" t="b">
        <f>IF('SIMULADOR - DADOS'!F13=11,'SIMULADOR - CUSTO PROJETOS'!H58,IF('SIMULADOR - DADOS'!F13=12,'SIMULADOR - CUSTO PROJETOS'!H75,IF('SIMULADOR - DADOS'!F13=13,'SIMULADOR - CUSTO PROJETOS'!H92,IF('SIMULADOR - DADOS'!F13=14,'SIMULADOR - CUSTO PROJETOS'!H109,IF('SIMULADOR - DADOS'!F13=21,'SIMULADOR - CUSTO PROJETOS'!H127,IF('SIMULADOR - DADOS'!F13=22,'SIMULADOR - CUSTO PROJETOS'!H144,IF('SIMULADOR - DADOS'!F13=23,'SIMULADOR - CUSTO PROJETOS'!H162,IF('SIMULADOR - DADOS'!F13=24,'SIMULADOR - CUSTO PROJETOS'!H180,IF('SIMULADOR - DADOS'!F13=25,'SIMULADOR - CUSTO PROJETOS'!H198,IF('SIMULADOR - DADOS'!F13=31,'SIMULADOR - CUSTO PROJETOS'!H215,IF('SIMULADOR - DADOS'!F13=32,'SIMULADOR - CUSTO PROJETOS'!H232,IF('SIMULADOR - DADOS'!F13=33,'SIMULADOR - CUSTO PROJETOS'!H249,IF('SIMULADOR - DADOS'!F13=34,'SIMULADOR - CUSTO PROJETOS'!H266,IF('SIMULADOR - DADOS'!F13=41,'SIMULADOR - CUSTO PROJETOS'!H284,IF('SIMULADOR - DADOS'!F13=42,'SIMULADOR - CUSTO PROJETOS'!H301,IF('SIMULADOR - DADOS'!F13=43,'SIMULADOR - CUSTO PROJETOS'!H319,IF('SIMULADOR - DADOS'!F13=44,'SIMULADOR - CUSTO PROJETOS'!H337,IF('SIMULADOR - DADOS'!F13=45,'SIMULADOR - CUSTO PROJETOS'!H355,IF('SIMULADOR - DADOS'!F13=51,'SIMULADOR - CUSTO PROJETOS'!H373,IF('SIMULADOR - DADOS'!F13=52,'SIMULADOR - CUSTO PROJETOS'!H391,IF('SIMULADOR - DADOS'!F13=53,'SIMULADOR - CUSTO PROJETOS'!H409,IF('SIMULADOR - DADOS'!F13=54,'SIMULADOR - CUSTO PROJETOS'!H427,IF('SIMULADOR - DADOS'!F13=55,'SIMULADOR - CUSTO PROJETOS'!H446,IF('SIMULADOR - DADOS'!F13=61,'SIMULADOR - CUSTO PROJETOS'!H463,IF('SIMULADOR - DADOS'!F13=62,'SIMULADOR - CUSTO PROJETOS'!H481,IF('SIMULADOR - DADOS'!F13=63,'SIMULADOR - CUSTO PROJETOS'!H499,IF('SIMULADOR - DADOS'!F13=64,'SIMULADOR - CUSTO PROJETOS'!H517,IF('SIMULADOR - DADOS'!F13=65,'SIMULADOR - CUSTO PROJETOS'!H535,IF('SIMULADOR - DADOS'!F13=71,'SIMULADOR - CUSTO PROJETOS'!H553,IF('SIMULADOR - DADOS'!F13=72,'SIMULADOR - CUSTO PROJETOS'!H571,IF('SIMULADOR - DADOS'!F13=73,'SIMULADOR - CUSTO PROJETOS'!H589,IF('SIMULADOR - DADOS'!F13=74,'SIMULADOR - CUSTO PROJETOS'!H607,IF('SIMULADOR - DADOS'!F13=75,'SIMULADOR - CUSTO PROJETOS'!H625,IF('SIMULADOR - DADOS'!F13=81,'SIMULADOR - CUSTO PROJETOS'!H636,IF('SIMULADOR - DADOS'!F13=83,'SIMULADOR - CUSTO PROJETOS'!H642,IF('SIMULADOR - DADOS'!F13=82,'SIMULADOR - CUSTO PROJETOS'!H654))))))))))))))))))))))))))))))))))))</f>
        <v>0</v>
      </c>
      <c r="K23" s="129"/>
      <c r="L23" s="18"/>
      <c r="M23" s="5"/>
    </row>
    <row r="24" spans="2:13" s="2" customFormat="1" ht="15" x14ac:dyDescent="0.2">
      <c r="B24" s="13"/>
      <c r="C24" s="73"/>
      <c r="D24" s="74"/>
      <c r="E24" s="74"/>
      <c r="F24" s="75"/>
      <c r="G24" s="75"/>
      <c r="H24" s="76"/>
      <c r="I24" s="75"/>
      <c r="J24" s="75"/>
      <c r="K24" s="77"/>
      <c r="L24" s="18"/>
      <c r="M24" s="5"/>
    </row>
    <row r="25" spans="2:13" s="2" customFormat="1" ht="15" x14ac:dyDescent="0.2">
      <c r="B25" s="13"/>
      <c r="C25" s="16"/>
      <c r="D25" s="54"/>
      <c r="E25" s="54"/>
      <c r="F25" s="17"/>
      <c r="G25" s="17"/>
      <c r="H25" s="40"/>
      <c r="I25" s="17"/>
      <c r="J25" s="17"/>
      <c r="K25" s="37" t="s">
        <v>412</v>
      </c>
      <c r="L25" s="18"/>
      <c r="M25" s="5"/>
    </row>
    <row r="26" spans="2:13" s="2" customFormat="1" ht="15" x14ac:dyDescent="0.2">
      <c r="B26" s="13"/>
      <c r="C26" s="16"/>
      <c r="D26" s="54"/>
      <c r="E26" s="54"/>
      <c r="F26" s="17"/>
      <c r="G26" s="17"/>
      <c r="H26" s="40"/>
      <c r="I26" s="17"/>
      <c r="J26" s="17"/>
      <c r="K26" s="37" t="s">
        <v>413</v>
      </c>
      <c r="L26" s="18"/>
      <c r="M26" s="5"/>
    </row>
    <row r="27" spans="2:13" s="32" customFormat="1" x14ac:dyDescent="0.2">
      <c r="B27" s="56"/>
      <c r="C27" s="60"/>
      <c r="D27" s="61"/>
      <c r="E27" s="61"/>
      <c r="F27" s="62"/>
      <c r="G27" s="62"/>
      <c r="H27" s="63"/>
      <c r="I27" s="62"/>
      <c r="J27" s="62"/>
      <c r="K27" s="64" t="s">
        <v>425</v>
      </c>
      <c r="L27" s="58"/>
      <c r="M27" s="59"/>
    </row>
    <row r="28" spans="2:13" s="2" customFormat="1" ht="15" x14ac:dyDescent="0.2">
      <c r="B28" s="13"/>
      <c r="C28" s="16"/>
      <c r="D28" s="54"/>
      <c r="E28" s="54"/>
      <c r="F28" s="17"/>
      <c r="G28" s="17"/>
      <c r="H28" s="40"/>
      <c r="I28" s="17"/>
      <c r="J28" s="17"/>
      <c r="K28" s="37"/>
      <c r="L28" s="18"/>
      <c r="M28" s="5"/>
    </row>
    <row r="29" spans="2:13" s="2" customFormat="1" ht="15" x14ac:dyDescent="0.2">
      <c r="B29" s="13"/>
      <c r="C29" s="16" t="s">
        <v>424</v>
      </c>
      <c r="D29" s="54"/>
      <c r="E29" s="54"/>
      <c r="F29" s="17"/>
      <c r="G29" s="17"/>
      <c r="H29" s="40"/>
      <c r="I29" s="17"/>
      <c r="J29" s="17"/>
      <c r="K29" s="37"/>
      <c r="L29" s="18"/>
      <c r="M29" s="5"/>
    </row>
    <row r="30" spans="2:13" s="32" customFormat="1" ht="25.5" x14ac:dyDescent="0.2">
      <c r="B30" s="56"/>
      <c r="C30" s="136" t="s">
        <v>423</v>
      </c>
      <c r="D30" s="137"/>
      <c r="E30" s="65" t="s">
        <v>416</v>
      </c>
      <c r="F30" s="65" t="s">
        <v>417</v>
      </c>
      <c r="G30" s="65" t="s">
        <v>418</v>
      </c>
      <c r="H30" s="65" t="s">
        <v>419</v>
      </c>
      <c r="I30" s="65" t="s">
        <v>420</v>
      </c>
      <c r="J30" s="65" t="s">
        <v>421</v>
      </c>
      <c r="K30" s="66" t="s">
        <v>422</v>
      </c>
      <c r="L30" s="58"/>
      <c r="M30" s="59"/>
    </row>
    <row r="31" spans="2:13" s="32" customFormat="1" x14ac:dyDescent="0.2">
      <c r="B31" s="56"/>
      <c r="C31" s="138" t="s">
        <v>395</v>
      </c>
      <c r="D31" s="139"/>
      <c r="E31" s="57">
        <v>0</v>
      </c>
      <c r="F31" s="57" t="b">
        <f>IF('SIMULADOR - DADOS'!F13=11,IF(N50&lt;-4%,-5%,"-"),IF('SIMULADOR - DADOS'!F13=12,IF(N67&lt;-4%,-5%,"-"),IF('SIMULADOR - DADOS'!F13=13,IF(N84&lt;-4%,-5%,"-"),IF('SIMULADOR - DADOS'!F13=14,IF(N101&lt;-4%,-5%,"-"),IF('SIMULADOR - DADOS'!F13=21,IF(N119&lt;-4%,-5%,"-"),IF('SIMULADOR - DADOS'!F13=22,IF(N136&lt;-4%,-5%,"-"),IF('SIMULADOR - DADOS'!F13=23,IF(N154&lt;-4%,-5%,"-"),IF('SIMULADOR - DADOS'!F13=24,IF(N172&lt;-4%,-5%,"-"),IF('SIMULADOR - DADOS'!F13=25,IF(N190&lt;-4%,-5%,"-"),IF('SIMULADOR - DADOS'!F13=31,IF(N207&lt;-4%,-5%,"-"),IF('SIMULADOR - DADOS'!F13=32,IF(N224&lt;-4%,-5%,"-"),IF('SIMULADOR - DADOS'!F13=33,IF(N241&lt;-4%,-5%,"-"),IF('SIMULADOR - DADOS'!F13=34,IF(N258&lt;-4%,-5%,"-"),IF('SIMULADOR - DADOS'!F13=41,IF(N276&lt;-4%,-5%,"-"),IF('SIMULADOR - DADOS'!F13=42,IF(N293&lt;-4%,-5%,"-"),IF('SIMULADOR - DADOS'!F13=43,IF(N311&lt;-4%,-5%,"-"),IF('SIMULADOR - DADOS'!F13=44,IF(N329&lt;-4%,-5%,"-"),IF('SIMULADOR - DADOS'!F13=45,IF(N347&lt;-4%,-5%,"-"),IF('SIMULADOR - DADOS'!F13=51,IF(N365&lt;-4%,-5%,"-"),IF('SIMULADOR - DADOS'!F13=52,IF(N383&lt;-4%,-5%,"-"),IF('SIMULADOR - DADOS'!F13=53,IF(N401&lt;-4%,-5%,"-"),IF('SIMULADOR - DADOS'!F13=54,IF(N419&lt;-4%,-5%,"-"),IF('SIMULADOR - DADOS'!F13=55,IF(N437&lt;-4%,-5%,"-"),IF('SIMULADOR - DADOS'!F13=61,IF(N455&lt;-4%,-5%,"-"),IF('SIMULADOR - DADOS'!F13=62,IF(N473&lt;-4%,-5%,"-"),IF('SIMULADOR - DADOS'!F13=63,IF(N491&lt;-4%,-5%,"-"),IF('SIMULADOR - DADOS'!F13=64,IF(N509&lt;-4%,-5%,"-"),IF('SIMULADOR - DADOS'!F13=65,IF(N527&lt;-4%,-5%,"-"),IF('SIMULADOR - DADOS'!F13=71,IF(N545&lt;-4%,-5%,"-"),IF('SIMULADOR - DADOS'!F13=72,IF(N563&lt;-4%,-5%,"-"),IF('SIMULADOR - DADOS'!F13=73,IF(N581&lt;-4%,-5%,"-"),IF('SIMULADOR - DADOS'!F13=74,IF(N599&lt;-4%,-5%,"-"),IF('SIMULADOR - DADOS'!F13=75,IF(N617&lt;-4%,-5%,"-"),IF('SIMULADOR - DADOS'!F13=81,IF(N635&lt;-4%,-5%,"-"),IF('SIMULADOR - DADOS'!F13=83,IF(N641&lt;-4%,-5%,"-"),IF('SIMULADOR - DADOS'!F13=82,IF(N648&lt;-4%,-5%,"-")))))))))))))))))))))))))))))))))))))</f>
        <v>0</v>
      </c>
      <c r="G31" s="57" t="b">
        <f>IF('SIMULADOR - DADOS'!F13=11,IF(N50&lt;-9%,-10%,"-"),IF('SIMULADOR - DADOS'!F13=12,IF(N67&lt;-9%,-10%,"-"),IF('SIMULADOR - DADOS'!F13=13,IF(N84&lt;-9%,-10%,"-"),IF('SIMULADOR - DADOS'!F13=14,IF(N101&lt;-9%,-10%,"-"),IF('SIMULADOR - DADOS'!F13=21,IF(N119&lt;-9%,-10%,"-"),IF('SIMULADOR - DADOS'!F13=22,IF(N136&lt;-9%,-10%,"-"),IF('SIMULADOR - DADOS'!F13=23,IF(N154&lt;-9%,-10%,"-"),IF('SIMULADOR - DADOS'!F13=24,IF(N172&lt;-9%,-10%,"-"),IF('SIMULADOR - DADOS'!F13=25,IF(N190&lt;-9%,-10%,"-"),IF('SIMULADOR - DADOS'!F13=31,IF(N207&lt;-9%,-10%,"-"),IF('SIMULADOR - DADOS'!F13=32,IF(N224&lt;-9%,-10%,"-"),IF('SIMULADOR - DADOS'!F13=33,IF(N241&lt;-9%,-10%,"-"),IF('SIMULADOR - DADOS'!F13=34,IF(N258&lt;-9%,-10%,"-"),IF('SIMULADOR - DADOS'!F13=41,IF(N276&lt;-9%,-10%,"-"),IF('SIMULADOR - DADOS'!F13=42,IF(N293&lt;-9%,-10%,"-"),IF('SIMULADOR - DADOS'!F13=43,IF(N311&lt;-9%,-10%,"-"),IF('SIMULADOR - DADOS'!F13=44,IF(N329&lt;-9%,-10%,"-"),IF('SIMULADOR - DADOS'!F13=45,IF(N347&lt;-9%,-10%,"-"),IF('SIMULADOR - DADOS'!F13=51,IF(N365&lt;-9%,-10%,"-"),IF('SIMULADOR - DADOS'!F13=52,IF(N383&lt;-9%,-10%,"-"),IF('SIMULADOR - DADOS'!F13=53,IF(N401&lt;-9%,-10%,"-"),IF('SIMULADOR - DADOS'!F13=54,IF(N419&lt;-9%,-10%,"-"),IF('SIMULADOR - DADOS'!F13=55,IF(N437&lt;-9%,-10%,"-"),IF('SIMULADOR - DADOS'!F13=61,IF(N455&lt;-9%,-10%,"-"),IF('SIMULADOR - DADOS'!F13=62,IF(N473&lt;-9%,-10%,"-"),IF('SIMULADOR - DADOS'!F13=63,IF(N491&lt;-9%,-10%,"-"),IF('SIMULADOR - DADOS'!F13=64,IF(N509&lt;-9%,-10%,"-"),IF('SIMULADOR - DADOS'!F13=65,IF(N527&lt;-9%,-10%,"-"),IF('SIMULADOR - DADOS'!F13=71,IF(N545&lt;-9%,-10%,"-"),IF('SIMULADOR - DADOS'!F13=72,IF(N563&lt;-9%,-10%,"-"),IF('SIMULADOR - DADOS'!F13=73,IF(N581&lt;-9%,-10%,"-"),IF('SIMULADOR - DADOS'!F13=74,IF(N599&lt;-9%,-10%,"-"),IF('SIMULADOR - DADOS'!F13=75,IF(N617&lt;-9%,-10%,"-"),IF('SIMULADOR - DADOS'!F13=81,IF(N635&lt;-9%,-10%,"-"),IF('SIMULADOR - DADOS'!F13=83,IF(N641&lt;-9%,-10%,"-"),IF('SIMULADOR - DADOS'!F13=82,IF(N648&lt;-9%,-10%,"-")))))))))))))))))))))))))))))))))))))</f>
        <v>0</v>
      </c>
      <c r="H31" s="57" t="b">
        <f>IF('SIMULADOR - DADOS'!F13=11,IF(N50&lt;-14%,-15%,"-"),IF('SIMULADOR - DADOS'!F13=12,IF(N67&lt;-14%,-15%,"-"),IF('SIMULADOR - DADOS'!F13=13,IF(N84&lt;-14%,-15%,"-"),IF('SIMULADOR - DADOS'!F13=14,IF(N101&lt;-14%,-15%,"-"),IF('SIMULADOR - DADOS'!F13=21,IF(N119&lt;-14%,-15%,"-"),IF('SIMULADOR - DADOS'!F13=22,IF(N136&lt;-14%,-15%,"-"),IF('SIMULADOR - DADOS'!F13=23,IF(N154&lt;-14%,-15%,"-"),IF('SIMULADOR - DADOS'!F13=24,IF(N172&lt;-14%,-15%,"-"),IF('SIMULADOR - DADOS'!F13=25,IF(N190&lt;-14%,-15%,"-"),IF('SIMULADOR - DADOS'!F13=31,IF(N207&lt;-14%,-15%,"-"),IF('SIMULADOR - DADOS'!F13=32,IF(N224&lt;-14%,-15%,"-"),IF('SIMULADOR - DADOS'!F13=33,IF(N241&lt;-14%,-15%,"-"),IF('SIMULADOR - DADOS'!F13=34,IF(N258&lt;-14%,-15%,"-"),IF('SIMULADOR - DADOS'!F13=41,IF(N276&lt;-14%,-15%,"-"),IF('SIMULADOR - DADOS'!F13=42,IF(N293&lt;-14%,-15%,"-"),IF('SIMULADOR - DADOS'!F13=43,IF(N311&lt;-14%,-15%,"-"),IF('SIMULADOR - DADOS'!F13=44,IF(N329&lt;-14%,-15%,"-"),IF('SIMULADOR - DADOS'!F13=45,IF(N347&lt;-14%,-15%,"-"),IF('SIMULADOR - DADOS'!F13=51,IF(N365&lt;-14%,-15%,"-"),IF('SIMULADOR - DADOS'!F13=52,IF(N383&lt;-14%,-15%,"-"),IF('SIMULADOR - DADOS'!F13=53,IF(N401&lt;-14%,-15%,"-"),IF('SIMULADOR - DADOS'!F13=54,IF(N419&lt;-14%,-15%,"-"),IF('SIMULADOR - DADOS'!F13=55,IF(N437&lt;-14%,-15%,"-"),IF('SIMULADOR - DADOS'!F13=61,IF(N455&lt;-14%,-15%,"-"),IF('SIMULADOR - DADOS'!F13=62,IF(N473&lt;-14%,-15%,"-"),IF('SIMULADOR - DADOS'!F13=63,IF(N491&lt;-14%,-15%,"-"),IF('SIMULADOR - DADOS'!F13=64,IF(N509&lt;-14%,-15%,"-"),IF('SIMULADOR - DADOS'!F13=65,IF(N527&lt;-14%,-15%,"-"),IF('SIMULADOR - DADOS'!F13=71,IF(N545&lt;-14%,-15%,"-"),IF('SIMULADOR - DADOS'!F13=72,IF(N563&lt;-14%,-15%,"-"),IF('SIMULADOR - DADOS'!F13=73,IF(N581&lt;-14%,-15%,"-"),IF('SIMULADOR - DADOS'!F13=74,IF(N599&lt;-14%,-15%,"-"),IF('SIMULADOR - DADOS'!F13=75,IF(N617&lt;-14%,-15%,"-"),IF('SIMULADOR - DADOS'!F13=81,IF(N635&lt;-14%,-15%,"-"),IF('SIMULADOR - DADOS'!F13=83,IF(N641&lt;-14%,-15%,"-"),IF('SIMULADOR - DADOS'!F13=82,IF(N648&lt;-14%,-15%,"-")))))))))))))))))))))))))))))))))))))</f>
        <v>0</v>
      </c>
      <c r="I31" s="57" t="b">
        <f>IF('SIMULADOR - DADOS'!F13=11,IF(N50&lt;-19%,-20%,"-"),IF('SIMULADOR - DADOS'!F13=12,IF(N67&lt;-19%,-20%,"-"),IF('SIMULADOR - DADOS'!F13=13,IF(N84&lt;-19%,-20%,"-"),IF('SIMULADOR - DADOS'!F13=14,IF(N101&lt;-19%,-20%,"-"),IF('SIMULADOR - DADOS'!F13=21,IF(N119&lt;-19%,-20%,"-"),IF('SIMULADOR - DADOS'!F13=22,IF(N136&lt;-19%,-20%,"-"),IF('SIMULADOR - DADOS'!F13=23,IF(N154&lt;-19%,-20%,"-"),IF('SIMULADOR - DADOS'!F13=24,IF(N172&lt;-19%,-20%,"-"),IF('SIMULADOR - DADOS'!F13=25,IF(N190&lt;-19%,-20%,"-"),IF('SIMULADOR - DADOS'!F13=31,IF(N207&lt;-19%,-20%,"-"),IF('SIMULADOR - DADOS'!F13=32,IF(N224&lt;-19%,-20%,"-"),IF('SIMULADOR - DADOS'!F13=33,IF(N241&lt;-19%,-20%,"-"),IF('SIMULADOR - DADOS'!F13=34,IF(N258&lt;-19%,-20%,"-"),IF('SIMULADOR - DADOS'!F13=41,IF(N276&lt;-19%,-20%,"-"),IF('SIMULADOR - DADOS'!F13=42,IF(N293&lt;-19%,-20%,"-"),IF('SIMULADOR - DADOS'!F13=43,IF(N311&lt;-19%,-20%,"-"),IF('SIMULADOR - DADOS'!F13=44,IF(N329&lt;-19%,-20%,"-"),IF('SIMULADOR - DADOS'!F13=45,IF(N347&lt;-19%,-20%,"-"),IF('SIMULADOR - DADOS'!F13=51,IF(N365&lt;-19%,-20%,"-"),IF('SIMULADOR - DADOS'!F13=52,IF(N383&lt;-19%,-20%,"-"),IF('SIMULADOR - DADOS'!F13=53,IF(N401&lt;-19%,-20%,"-"),IF('SIMULADOR - DADOS'!F13=54,IF(N419&lt;-19%,-20%,"-"),IF('SIMULADOR - DADOS'!F13=55,IF(N437&lt;-19%,-20%,"-"),IF('SIMULADOR - DADOS'!F13=61,IF(N455&lt;-19%,-20%,"-"),IF('SIMULADOR - DADOS'!F13=62,IF(N473&lt;-19%,-20%,"-"),IF('SIMULADOR - DADOS'!F13=63,IF(N491&lt;-19%,-20%,"-"),IF('SIMULADOR - DADOS'!F13=64,IF(N509&lt;-19%,-20%,"-"),IF('SIMULADOR - DADOS'!F13=65,IF(N527&lt;-19%,-20%,"-"),IF('SIMULADOR - DADOS'!F13=71,IF(N545&lt;-19%,-20%,"-"),IF('SIMULADOR - DADOS'!F13=72,IF(N563&lt;-19%,-20%,"-"),IF('SIMULADOR - DADOS'!F13=73,IF(N581&lt;-19%,-20%,"-"),IF('SIMULADOR - DADOS'!F13=74,IF(N599&lt;-19%,-20%,"-"),IF('SIMULADOR - DADOS'!F13=75,IF(N617&lt;-19%,-20%,"-"),IF('SIMULADOR - DADOS'!F13=81,IF(N635&lt;-19%,-20%,"-"),IF('SIMULADOR - DADOS'!F13=83,IF(N641&lt;-19%,-20%,"-"),IF('SIMULADOR - DADOS'!F13=82,IF(N648&lt;-19%,-20%,"-")))))))))))))))))))))))))))))))))))))</f>
        <v>0</v>
      </c>
      <c r="J31" s="57" t="b">
        <f>IF('SIMULADOR - DADOS'!F13=11,IF(N50&lt;-24%,-25%,"-"),IF('SIMULADOR - DADOS'!F13=12,IF(N67&lt;-24%,-25%,"-"),IF('SIMULADOR - DADOS'!F13=13,IF(N84&lt;-24%,-25%,"-"),IF('SIMULADOR - DADOS'!F13=14,IF(N101&lt;-24%,-25%,"-"),IF('SIMULADOR - DADOS'!F13=21,IF(N119&lt;-24%,-25%,"-"),IF('SIMULADOR - DADOS'!F13=22,IF(N136&lt;-24%,-25%,"-"),IF('SIMULADOR - DADOS'!F13=23,IF(N154&lt;-24%,-25%,"-"),IF('SIMULADOR - DADOS'!F13=24,IF(N172&lt;-24%,-25%,"-"),IF('SIMULADOR - DADOS'!F13=25,IF(N190&lt;-24%,-25%,"-"),IF('SIMULADOR - DADOS'!F13=31,IF(N207&lt;-24%,-25%,"-"),IF('SIMULADOR - DADOS'!F13=32,IF(N224&lt;-24%,-25%,"-"),IF('SIMULADOR - DADOS'!F13=33,IF(N241&lt;-24%,-25%,"-"),IF('SIMULADOR - DADOS'!F13=34,IF(N258&lt;-24%,-25%,"-"),IF('SIMULADOR - DADOS'!F13=41,IF(N276&lt;-24%,-25%,"-"),IF('SIMULADOR - DADOS'!F13=42,IF(N293&lt;-24%,-25%,"-"),IF('SIMULADOR - DADOS'!F13=43,IF(N311&lt;-24%,-25%,"-"),IF('SIMULADOR - DADOS'!F13=44,IF(N329&lt;-24%,-25%,"-"),IF('SIMULADOR - DADOS'!F13=45,IF(N347&lt;-24%,-25%,"-"),IF('SIMULADOR - DADOS'!F13=51,IF(N365&lt;-24%,-25%,"-"),IF('SIMULADOR - DADOS'!F13=52,IF(N383&lt;-24%,-25%,"-"),IF('SIMULADOR - DADOS'!F13=53,IF(N401&lt;-24%,-25%,"-"),IF('SIMULADOR - DADOS'!F13=54,IF(N419&lt;-24%,-25%,"-"),IF('SIMULADOR - DADOS'!F13=55,IF(N437&lt;-24%,-25%,"-"),IF('SIMULADOR - DADOS'!F13=61,IF(N455&lt;-24%,-25%,"-"),IF('SIMULADOR - DADOS'!F13=62,IF(N473&lt;-24%,-25%,"-"),IF('SIMULADOR - DADOS'!F13=63,IF(N491&lt;-24%,-25%,"-"),IF('SIMULADOR - DADOS'!F13=64,IF(N509&lt;-24%,-25%,"-"),IF('SIMULADOR - DADOS'!F13=65,IF(N527&lt;-24%,-25%,"-"),IF('SIMULADOR - DADOS'!F13=71,IF(N545&lt;-24%,-25%,"-"),IF('SIMULADOR - DADOS'!F13=72,IF(N563&lt;-24%,-25%,"-"),IF('SIMULADOR - DADOS'!F13=73,IF(N581&lt;-24%,-25%,"-"),IF('SIMULADOR - DADOS'!F13=74,IF(N599&lt;-24%,-25%,"-"),IF('SIMULADOR - DADOS'!F13=75,IF(N617&lt;-24%,-25%,"-"),IF('SIMULADOR - DADOS'!F13=81,IF(N635&lt;-24%,-25%,"-"),IF('SIMULADOR - DADOS'!F13=83,IF(N641&lt;-24%,-25%,"-"),IF('SIMULADOR - DADOS'!F13=82,IF(N648&lt;-24%,-25%,"-")))))))))))))))))))))))))))))))))))))</f>
        <v>0</v>
      </c>
      <c r="K31" s="57" t="b">
        <f>IF('SIMULADOR - DADOS'!F13=11,IF(N50&lt;-29%,N50,"-"),IF('SIMULADOR - DADOS'!F13=12,IF(N67&lt;-29%,N67,"-"),IF('SIMULADOR - DADOS'!F13=13,IF(N84&lt;-29%,N84,"-"),IF('SIMULADOR - DADOS'!F13=14,IF(N101&lt;-29%,N101,"-"),IF('SIMULADOR - DADOS'!F13=21,IF(N119&lt;-29%,N119,"-"),IF('SIMULADOR - DADOS'!F13=22,IF(N136&lt;-29%,N136,"-"),IF('SIMULADOR - DADOS'!F13=23,IF(N154&lt;-29%,N154,"-"),IF('SIMULADOR - DADOS'!F13=24,IF(N172&lt;-29%,N172,"-"),IF('SIMULADOR - DADOS'!F13=25,IF(N190&lt;-29%,N190,"-"),IF('SIMULADOR - DADOS'!F13=31,IF(N207&lt;-29%,N207,"-"),IF('SIMULADOR - DADOS'!F13=32,IF(N224&lt;-29%,N224,"-"),IF('SIMULADOR - DADOS'!F13=33,IF(N241&lt;-29%,N241,"-"),IF('SIMULADOR - DADOS'!F13=34,IF(N258&lt;-29%,N258,"-"),IF('SIMULADOR - DADOS'!F13=41,IF(N276&lt;-29%,N276,"-"),IF('SIMULADOR - DADOS'!F13=42,IF(N293&lt;-29%,N293,"-"),IF('SIMULADOR - DADOS'!F13=43,IF(N311&lt;-29%,N311,"-"),IF('SIMULADOR - DADOS'!F13=44,IF(N329&lt;-29%,N329,"-"),IF('SIMULADOR - DADOS'!F13=45,IF(N347&lt;-29%,N347,"-"),IF('SIMULADOR - DADOS'!F13=51,IF(N365&lt;-29%,N365,"-"),IF('SIMULADOR - DADOS'!F13=52,IF(N383&lt;-29%,N383,"-"),IF('SIMULADOR - DADOS'!F13=53,IF(N401&lt;-29%,N401,"-"),IF('SIMULADOR - DADOS'!F13=54,IF(N419&lt;-29%,N419,"-"),IF('SIMULADOR - DADOS'!F13=55,IF(N437&lt;-29%,N437,"-"),IF('SIMULADOR - DADOS'!F13=61,IF(N455&lt;-29%,N455,"-"),IF('SIMULADOR - DADOS'!F13=62,IF(N473&lt;-29%,N473,"-"),IF('SIMULADOR - DADOS'!F13=63,IF(N491&lt;-29%,N491,"-"),IF('SIMULADOR - DADOS'!F13=64,IF(N509&lt;-29%,N509,"-"),IF('SIMULADOR - DADOS'!F13=65,IF(N527&lt;-29%,N527,"-"),IF('SIMULADOR - DADOS'!F13=71,IF(N545&lt;-29%,N545,"-"),IF('SIMULADOR - DADOS'!F13=72,IF(N563&lt;-29%,N563,"-"),IF('SIMULADOR - DADOS'!F13=73,IF(N581&lt;-29%,N581,"-"),IF('SIMULADOR - DADOS'!F13=74,IF(N599&lt;-29%,N599,"-"),IF('SIMULADOR - DADOS'!F13=75,IF(N617&lt;-29%,N599,"-"),IF('SIMULADOR - DADOS'!F13=81,IF(N635&lt;-29%,N635,"-"),IF('SIMULADOR - DADOS'!F13=83,IF(N641&lt;-29%,N641,"-"),IF('SIMULADOR - DADOS'!F13=82,IF(N648&lt;-29%,N648,"-")))))))))))))))))))))))))))))))))))))</f>
        <v>0</v>
      </c>
      <c r="L31" s="58"/>
      <c r="M31" s="59"/>
    </row>
    <row r="32" spans="2:13" s="32" customFormat="1" x14ac:dyDescent="0.2">
      <c r="B32" s="56"/>
      <c r="C32" s="138" t="str">
        <f>IF(SUM(J16:K23)=0,"","Especialidades")</f>
        <v/>
      </c>
      <c r="D32" s="139"/>
      <c r="E32" s="57" t="str">
        <f>IF(SUM(J16:K23)=0,"","0%")</f>
        <v/>
      </c>
      <c r="F32" s="57" t="str">
        <f>IF(SUM(J16:K23)=0,"","0%")</f>
        <v/>
      </c>
      <c r="G32" s="57" t="str">
        <f>IF('SIMULADOR - DADOS'!F13=11,IF(O55&lt;-4%,-5%,"-"),IF('SIMULADOR - DADOS'!F13=12,IF(O74&lt;-4%,-5%,"-"),IF('SIMULADOR - DADOS'!F13=13,IF(O89&lt;-4%,-5%,"-"),IF('SIMULADOR - DADOS'!F13=21,IF(O126&lt;-4%,-5%,"-"),IF('SIMULADOR - DADOS'!F13=22,IF(O141&lt;-4%,-5%,"-"),IF('SIMULADOR - DADOS'!F13=23,IF(O161&lt;-4%,-5%,"-"),IF('SIMULADOR - DADOS'!F13=24,IF(O177&lt;-4%,-5%,"-"),IF('SIMULADOR - DADOS'!F13=31,IF(O214&lt;-4%,-5%,"-"),IF('SIMULADOR - DADOS'!F13=32,IF(O231&lt;-4%,-5%,"-"),IF('SIMULADOR - DADOS'!F13=33,IF(O248&lt;-4%,-5%,"-"),IF('SIMULADOR - DADOS'!F13=41,IF(O283&lt;-4%,-5%,"-"),IF('SIMULADOR - DADOS'!F13=42,IF(O300&lt;-4%,-5%,"-"),IF('SIMULADOR - DADOS'!F13=43,IF(O318&lt;-4%,-5%,"-"),IF('SIMULADOR - DADOS'!F13=44,IF(O336&lt;-4%,-5%,"-"),IF('SIMULADOR - DADOS'!F13=51,IF(O373&lt;-4%,-5%,"-"),IF('SIMULADOR - DADOS'!F13=52,IF(O391&lt;-4%,-5%,"-"),IF('SIMULADOR - DADOS'!F13=53,IF(O409&lt;-4%,-5%,"-"),IF('SIMULADOR - DADOS'!F13=54,IF(O426&lt;-4%,-5%,"-"),IF('SIMULADOR - DADOS'!F13=61,IF(O463&lt;-4%,-5%,"-"),IF('SIMULADOR - DADOS'!F13=62,IF(O481&lt;-4%,-5%,"-"),IF('SIMULADOR - DADOS'!F13=63,IF(O499&lt;-4%,-5%,"-"),IF('SIMULADOR - DADOS'!F13=64,IF(O516&lt;-4%,-5%,"-"),IF('SIMULADOR - DADOS'!F13=71,IF(O553&lt;-4%,-5%,"-"),IF('SIMULADOR - DADOS'!F13=72,IF(O571&lt;-4%,-5%,"-"),IF('SIMULADOR - DADOS'!F13=73,IF(O589&lt;-4%,-5%,"-"),IF('SIMULADOR - DADOS'!F13=74,IF(O606&lt;-4%,-5%,"-"),IF('SIMULADOR - DADOS'!F13=82,IF(O654&lt;-4%,-5%,"-"),IF(SUM(J16:K23)=0,""))))))))))))))))))))))))))))</f>
        <v/>
      </c>
      <c r="H32" s="70" t="str">
        <f>IF('SIMULADOR - DADOS'!F13=11,IF(O55&lt;-9%,-10%,"-"),IF('SIMULADOR - DADOS'!F13=12,IF(O74&lt;-9%,-10%,"-"),IF('SIMULADOR - DADOS'!F13=13,IF(O89&lt;-9%,-10%,"-"),IF('SIMULADOR - DADOS'!F13=21,IF(O126&lt;-9%,-10%,"-"),IF('SIMULADOR - DADOS'!F13=22,IF(O141&lt;-9%,-10%,"-"),IF('SIMULADOR - DADOS'!F13=23,IF(O161&lt;-9%,-10%,"-"),IF('SIMULADOR - DADOS'!F13=24,IF(O177&lt;-9%,-10%,"-"),IF('SIMULADOR - DADOS'!F13=31,IF(O214&lt;-9%,-10%,"-"),IF('SIMULADOR - DADOS'!F13=32,IF(O231&lt;-9%,-10%,"-"),IF('SIMULADOR - DADOS'!F13=33,IF(O248&lt;-9%,-10%,"-"),IF('SIMULADOR - DADOS'!F13=41,IF(O283&lt;-9%,-10%,"-"),IF('SIMULADOR - DADOS'!F13=42,IF(O300&lt;-9%,-10%,"-"),IF('SIMULADOR - DADOS'!F13=43,IF(O318&lt;-9%,-10%,"-"),IF('SIMULADOR - DADOS'!F13=44,IF(O336&lt;-9%,-10%,"-"),IF('SIMULADOR - DADOS'!F13=51,IF(O373&lt;-9%,-10%,"-"),IF('SIMULADOR - DADOS'!F13=52,IF(O391&lt;-9%,-10%,"-"),IF('SIMULADOR - DADOS'!F13=53,IF(O409&lt;-9%,-10%,"-"),IF('SIMULADOR - DADOS'!F13=54,IF(O426&lt;-9%,-10%,"-"),IF('SIMULADOR - DADOS'!F13=61,IF(O463&lt;-9%,-10%,"-"),IF('SIMULADOR - DADOS'!F13=62,IF(O481&lt;-9%,-10%,"-"),IF('SIMULADOR - DADOS'!F13=63,IF(O499&lt;-9%,-10%,"-"),IF('SIMULADOR - DADOS'!F13=64,IF(O516&lt;-9%,-10%,"-"),IF('SIMULADOR - DADOS'!F13=71,IF(O553&lt;-9%,-10%,"-"),IF('SIMULADOR - DADOS'!F13=72,IF(O571&lt;-9%,-10%,"-"),IF('SIMULADOR - DADOS'!F13=73,IF(O589&lt;-9%,-10%,"-"),IF('SIMULADOR - DADOS'!F13=74,IF(O606&lt;-9%,-10%,"-"),IF('SIMULADOR - DADOS'!F13=82,IF(O654&lt;-9%,-10%,"-"),IF(SUM(J16:K23)=0,""))))))))))))))))))))))))))))</f>
        <v/>
      </c>
      <c r="I32" s="69" t="str">
        <f>IF('SIMULADOR - DADOS'!F13=11,IF(O55&lt;-14%,-15%,"-"),IF('SIMULADOR - DADOS'!F13=12,IF(O74&lt;-14%,-15%,"-"),IF('SIMULADOR - DADOS'!F13=13,IF(O89&lt;-14%,-15%,"-"),IF('SIMULADOR - DADOS'!F13=21,IF(O126&lt;-14%,-15%,"-"),IF('SIMULADOR - DADOS'!F13=22,IF(O141&lt;-14%,-15%,"-"),IF('SIMULADOR - DADOS'!F13=23,IF(O161&lt;-14%,-15%,"-"),IF('SIMULADOR - DADOS'!F13=24,IF(O177&lt;-14%,-15%,"-"),IF('SIMULADOR - DADOS'!F13=31,IF(O214&lt;-14%,-15%,"-"),IF('SIMULADOR - DADOS'!F13=32,IF(O231&lt;-14%,-15%,"-"),IF('SIMULADOR - DADOS'!F13=33,IF(O248&lt;-14%,-15%,"-"),IF('SIMULADOR - DADOS'!F13=41,IF(O283&lt;-14%,-15%,"-"),IF('SIMULADOR - DADOS'!F13=42,IF(O300&lt;-14%,-15%,"-"),IF('SIMULADOR - DADOS'!F13=43,IF(O318&lt;-14%,-15%,"-"),IF('SIMULADOR - DADOS'!F13=44,IF(O336&lt;-14%,-15%,"-"),IF('SIMULADOR - DADOS'!F13=51,IF(O373&lt;-14%,-15%,"-"),IF('SIMULADOR - DADOS'!F13=52,IF(O391&lt;-14%,-15%,"-"),IF('SIMULADOR - DADOS'!F13=53,IF(O409&lt;-14%,-15%,"-"),IF('SIMULADOR - DADOS'!F13=54,IF(O426&lt;-14%,-15%,"-"),IF('SIMULADOR - DADOS'!F13=61,IF(O463&lt;-14%,-15%,"-"),IF('SIMULADOR - DADOS'!F13=62,IF(O481&lt;-14%,-15%,"-"),IF('SIMULADOR - DADOS'!F13=63,IF(O499&lt;-14%,-15%,"-"),IF('SIMULADOR - DADOS'!F13=64,IF(O516&lt;-14%,-15%,"-"),IF('SIMULADOR - DADOS'!F13=71,IF(O553&lt;-14%,-15%,"-"),IF('SIMULADOR - DADOS'!F13=72,IF(O571&lt;-14%,-15%,"-"),IF('SIMULADOR - DADOS'!F13=73,IF(O589&lt;-14%,-15%,"-"),IF('SIMULADOR - DADOS'!F13=74,IF(O606&lt;-14%,-15%,"-"),IF('SIMULADOR - DADOS'!F13=82,IF(O654&lt;-14%,-15%,"-"),IF(SUM(J16:K23)=0,""))))))))))))))))))))))))))))</f>
        <v/>
      </c>
      <c r="J32" s="69" t="str">
        <f>IF('SIMULADOR - DADOS'!F13=11,IF(O55&lt;-19%,-20%,"-"),IF('SIMULADOR - DADOS'!F13=12,IF(O74&lt;-19%,-20%,"-"),IF('SIMULADOR - DADOS'!F13=13,IF(O89&lt;-19%,-20%,"-"),IF('SIMULADOR - DADOS'!F13=21,IF(O126&lt;-19%,-20%,"-"),IF('SIMULADOR - DADOS'!F13=22,IF(O141&lt;-19%,-20%,"-"),IF('SIMULADOR - DADOS'!F13=23,IF(O161&lt;-19%,-20%,"-"),IF('SIMULADOR - DADOS'!F13=24,IF(O177&lt;-19%,-20%,"-"),IF('SIMULADOR - DADOS'!F13=31,IF(O214&lt;-19%,-20%,"-"),IF('SIMULADOR - DADOS'!F13=32,IF(O231&lt;-19%,-20%,"-"),IF('SIMULADOR - DADOS'!F13=33,IF(O248&lt;-19%,-20%,"-"),IF('SIMULADOR - DADOS'!F13=41,IF(O283&lt;-19%,-20%,"-"),IF('SIMULADOR - DADOS'!F13=42,IF(O300&lt;-19%,-20%,"-"),IF('SIMULADOR - DADOS'!F13=43,IF(O318&lt;-19%,-20%,"-"),IF('SIMULADOR - DADOS'!F13=44,IF(O336&lt;-19%,-20%,"-"),IF('SIMULADOR - DADOS'!F13=51,IF(O373&lt;-19%,-20%,"-"),IF('SIMULADOR - DADOS'!F13=52,IF(O391&lt;-19%,-20%,"-"),IF('SIMULADOR - DADOS'!F13=53,IF(O409&lt;-19%,-20%,"-"),IF('SIMULADOR - DADOS'!F13=54,IF(O426&lt;-19%,-20%,"-"),IF('SIMULADOR - DADOS'!F13=61,IF(O463&lt;-19%,-20%,"-"),IF('SIMULADOR - DADOS'!F13=62,IF(O481&lt;-19%,-20%,"-"),IF('SIMULADOR - DADOS'!F13=63,IF(O499&lt;-19%,-20%,"-"),IF('SIMULADOR - DADOS'!F13=64,IF(O516&lt;-19%,-20%,"-"),IF('SIMULADOR - DADOS'!F13=71,IF(O553&lt;-19%,-20%,"-"),IF('SIMULADOR - DADOS'!F13=72,IF(O571&lt;-19%,-20%,"-"),IF('SIMULADOR - DADOS'!F13=73,IF(O589&lt;-19%,-20%,"-"),IF('SIMULADOR - DADOS'!F13=74,IF(O606&lt;-19%,-20%,"-"),IF('SIMULADOR - DADOS'!F13=82,IF(O654&lt;-19%,-20%,"-"),IF(SUM(J16:K23)=0,""))))))))))))))))))))))))))))</f>
        <v/>
      </c>
      <c r="K32" s="69" t="str">
        <f>IF('SIMULADOR - DADOS'!F13=11,IF(O55&lt;-29%,O55,"-"),IF('SIMULADOR - DADOS'!F13=12,IF(O74&lt;-29%,O74,"-"),IF('SIMULADOR - DADOS'!F13=13,IF(O89&lt;-29%,O89,"-"),IF('SIMULADOR - DADOS'!F13=21,IF(O126&lt;-29%,O126,"-"),IF('SIMULADOR - DADOS'!F13=22,IF(O141&lt;-29%,O141,"-"),IF('SIMULADOR - DADOS'!F13=23,IF(O161&lt;-29%,O161,"-"),IF('SIMULADOR - DADOS'!F13=24,IF(O177&lt;-29%,O177,"-"),IF('SIMULADOR - DADOS'!F13=31,IF(O214&lt;-29%,O214,"-"),IF('SIMULADOR - DADOS'!F13=32,IF(O231&lt;-29%,O231,"-"),IF('SIMULADOR - DADOS'!F13=33,IF(O248&lt;-29%,O231,"-"),IF('SIMULADOR - DADOS'!F13=41,IF(O283&lt;-29%,O231,"-"),IF('SIMULADOR - DADOS'!F13=42,IF(O300&lt;-29%,O300,"-"),IF('SIMULADOR - DADOS'!F13=43,IF(O318&lt;-29%,O318,"-"),IF('SIMULADOR - DADOS'!F13=44,IF(O336&lt;-29%,O336,"-"),IF('SIMULADOR - DADOS'!F13=51,IF(O373&lt;-29%,O373,"-"),IF('SIMULADOR - DADOS'!F13=52,IF(O391&lt;-29%,O391,"-"),IF('SIMULADOR - DADOS'!F13=53,IF(O409&lt;-29%,O409,"-"),IF('SIMULADOR - DADOS'!F13=54,IF(O426&lt;-29%,O426,"-"),IF('SIMULADOR - DADOS'!F13=61,IF(O463&lt;-29%,O463,"-"),IF('SIMULADOR - DADOS'!F13=62,IF(O481&lt;-29%,O481,"-"),IF('SIMULADOR - DADOS'!F13=63,IF(O499&lt;-29%,O499,"-"),IF('SIMULADOR - DADOS'!F13=64,IF(O516&lt;-29%,O516,"-"),IF('SIMULADOR - DADOS'!F13=71,IF(O553&lt;-29%,O553,"-"),IF('SIMULADOR - DADOS'!F13=72,IF(O571&lt;-29%,O571,"-"),IF('SIMULADOR - DADOS'!F13=73,IF(O589&lt;-29%,O589,"-"),IF('SIMULADOR - DADOS'!F13=74,IF(O606&lt;-29%,O606,"-"),IF('SIMULADOR - DADOS'!F13=82,IF(O654&lt;-29%,O654,"-"),IF(SUM(J16:K23)=0,""))))))))))))))))))))))))))))</f>
        <v/>
      </c>
      <c r="L32" s="58"/>
      <c r="M32" s="59"/>
    </row>
    <row r="33" spans="2:15" s="32" customFormat="1" x14ac:dyDescent="0.2">
      <c r="B33" s="56"/>
      <c r="C33" s="60"/>
      <c r="D33" s="67"/>
      <c r="E33" s="61"/>
      <c r="F33" s="62"/>
      <c r="G33" s="62"/>
      <c r="H33" s="63"/>
      <c r="I33" s="62"/>
      <c r="J33" s="62"/>
      <c r="K33" s="64"/>
      <c r="L33" s="58"/>
      <c r="M33" s="59"/>
      <c r="O33" s="91"/>
    </row>
    <row r="34" spans="2:15" s="32" customFormat="1" x14ac:dyDescent="0.2">
      <c r="B34" s="56"/>
      <c r="C34" s="60"/>
      <c r="D34" s="67"/>
      <c r="E34" s="61"/>
      <c r="F34" s="62"/>
      <c r="G34" s="62"/>
      <c r="H34" s="63"/>
      <c r="I34" s="62"/>
      <c r="J34" s="62"/>
      <c r="K34" s="64"/>
      <c r="L34" s="58"/>
      <c r="M34" s="59"/>
    </row>
    <row r="35" spans="2:15" s="32" customFormat="1" x14ac:dyDescent="0.2">
      <c r="B35" s="56"/>
      <c r="C35" s="60" t="s">
        <v>427</v>
      </c>
      <c r="D35" s="67"/>
      <c r="E35" s="61"/>
      <c r="F35" s="62"/>
      <c r="G35" s="62"/>
      <c r="H35" s="60" t="str">
        <f>IF(SUM(J16:K23)=0,"","Condições de Pagamento dos Projetos de")</f>
        <v/>
      </c>
      <c r="I35" s="62"/>
      <c r="J35" s="62"/>
      <c r="K35" s="64"/>
      <c r="L35" s="58"/>
      <c r="M35" s="59"/>
    </row>
    <row r="36" spans="2:15" s="32" customFormat="1" x14ac:dyDescent="0.2">
      <c r="B36" s="56"/>
      <c r="C36" s="60" t="s">
        <v>428</v>
      </c>
      <c r="D36" s="67"/>
      <c r="E36" s="61"/>
      <c r="F36" s="62"/>
      <c r="G36" s="62"/>
      <c r="H36" s="60" t="str">
        <f>IF(SUM(J16:K23)=0,"","Especialidade / Engenharia:")</f>
        <v/>
      </c>
      <c r="I36" s="62"/>
      <c r="J36" s="62"/>
      <c r="K36" s="64"/>
      <c r="L36" s="58"/>
      <c r="M36" s="59"/>
    </row>
    <row r="37" spans="2:15" s="32" customFormat="1" x14ac:dyDescent="0.2">
      <c r="B37" s="56"/>
      <c r="C37" s="60" t="s">
        <v>429</v>
      </c>
      <c r="D37" s="67"/>
      <c r="E37" s="61"/>
      <c r="F37" s="62"/>
      <c r="G37" s="62"/>
      <c r="H37" s="60" t="str">
        <f>IF(SUM(J16:K23)=0,"","50% na adjudicação")</f>
        <v/>
      </c>
      <c r="I37" s="62"/>
      <c r="J37" s="62"/>
      <c r="K37" s="64"/>
      <c r="L37" s="58"/>
      <c r="M37" s="59"/>
    </row>
    <row r="38" spans="2:15" s="32" customFormat="1" x14ac:dyDescent="0.2">
      <c r="B38" s="56"/>
      <c r="C38" s="60" t="s">
        <v>430</v>
      </c>
      <c r="D38" s="67"/>
      <c r="E38" s="61"/>
      <c r="F38" s="62"/>
      <c r="G38" s="62"/>
      <c r="H38" s="60" t="str">
        <f>IF(SUM(J16:K23)=0,"","50% entrega do trabalho")</f>
        <v/>
      </c>
      <c r="I38" s="62"/>
      <c r="J38" s="62"/>
      <c r="K38" s="64"/>
      <c r="L38" s="58"/>
      <c r="M38" s="59"/>
    </row>
    <row r="39" spans="2:15" s="32" customFormat="1" x14ac:dyDescent="0.2">
      <c r="B39" s="56"/>
      <c r="C39" s="60"/>
      <c r="D39" s="67"/>
      <c r="E39" s="61"/>
      <c r="F39" s="62"/>
      <c r="G39" s="62"/>
      <c r="H39" s="63"/>
      <c r="I39" s="62"/>
      <c r="J39" s="62"/>
      <c r="K39" s="64"/>
      <c r="L39" s="58"/>
      <c r="M39" s="59"/>
    </row>
    <row r="40" spans="2:15" s="32" customFormat="1" x14ac:dyDescent="0.2">
      <c r="B40" s="56"/>
      <c r="C40" s="78"/>
      <c r="D40" s="79"/>
      <c r="E40" s="80"/>
      <c r="F40" s="81"/>
      <c r="G40" s="81"/>
      <c r="H40" s="82"/>
      <c r="I40" s="81"/>
      <c r="J40" s="81"/>
      <c r="K40" s="83"/>
      <c r="L40" s="58"/>
      <c r="M40" s="59"/>
    </row>
    <row r="41" spans="2:15" s="2" customFormat="1" ht="15" x14ac:dyDescent="0.2">
      <c r="B41" s="13"/>
      <c r="C41" s="16" t="str">
        <f>IF(J42&gt;0,"Para Execução de Obra:",IF(J43&gt;0,"Para Execução de Obra:",IF(J44&gt;0,"Para Execução de Obra:","")))</f>
        <v>Para Execução de Obra:</v>
      </c>
      <c r="D41" s="17"/>
      <c r="E41" s="17"/>
      <c r="F41" s="17"/>
      <c r="G41" s="17"/>
      <c r="H41" s="130" t="str">
        <f>IF('SIMULADOR - DADOS'!F13=81,"",IF('SIMULADOR - DADOS'!F13=83,"",IF(SUM(J16:K23)=0,"Incluído o Acompanhamento Técnico de Obra","")))</f>
        <v>Incluído o Acompanhamento Técnico de Obra</v>
      </c>
      <c r="I41" s="131"/>
      <c r="J41" s="131"/>
      <c r="K41" s="131"/>
      <c r="L41" s="18"/>
      <c r="M41" s="5"/>
    </row>
    <row r="42" spans="2:15" s="2" customFormat="1" ht="15" x14ac:dyDescent="0.2">
      <c r="B42" s="13"/>
      <c r="C42" s="16"/>
      <c r="D42" s="54" t="str">
        <f>IF(J42&gt;0,"Plano de Segurança e Saúde (valor único)","")</f>
        <v>Plano de Segurança e Saúde (valor único)</v>
      </c>
      <c r="E42" s="54"/>
      <c r="F42" s="17"/>
      <c r="G42" s="17"/>
      <c r="H42" s="39"/>
      <c r="I42" s="17"/>
      <c r="J42" s="132" t="b">
        <f>IF('SIMULADOR - DADOS'!F13=11,'SIMULADOR - CUSTO PROJETOS'!H59,IF('SIMULADOR - DADOS'!F13=12,'SIMULADOR - CUSTO PROJETOS'!H76,IF('SIMULADOR - DADOS'!F13=13,'SIMULADOR - CUSTO PROJETOS'!H93,IF('SIMULADOR - DADOS'!F13=14,'SIMULADOR - CUSTO PROJETOS'!H110,IF('SIMULADOR - DADOS'!F13=21,'SIMULADOR - CUSTO PROJETOS'!H128,IF('SIMULADOR - DADOS'!F13=22,'SIMULADOR - CUSTO PROJETOS'!H145,IF('SIMULADOR - DADOS'!F13=23,'SIMULADOR - CUSTO PROJETOS'!H163,IF('SIMULADOR - DADOS'!F13=24,'SIMULADOR - CUSTO PROJETOS'!H181,IF('SIMULADOR - DADOS'!F13=25,'SIMULADOR - CUSTO PROJETOS'!H199,IF('SIMULADOR - DADOS'!F13=31,'SIMULADOR - CUSTO PROJETOS'!H216,IF('SIMULADOR - DADOS'!F13=32,'SIMULADOR - CUSTO PROJETOS'!H233,IF('SIMULADOR - DADOS'!F13=33,'SIMULADOR - CUSTO PROJETOS'!H250,IF('SIMULADOR - DADOS'!F13=34,'SIMULADOR - CUSTO PROJETOS'!H267,IF('SIMULADOR - DADOS'!F13=41,'SIMULADOR - CUSTO PROJETOS'!H285,IF('SIMULADOR - DADOS'!F13=42,'SIMULADOR - CUSTO PROJETOS'!H302,IF('SIMULADOR - DADOS'!F13=43,'SIMULADOR - CUSTO PROJETOS'!H320,IF('SIMULADOR - DADOS'!F13=44,'SIMULADOR - CUSTO PROJETOS'!H338,IF('SIMULADOR - DADOS'!F13=45,'SIMULADOR - CUSTO PROJETOS'!H356,IF('SIMULADOR - DADOS'!F13=51,'SIMULADOR - CUSTO PROJETOS'!H374,IF('SIMULADOR - DADOS'!F13=52,'SIMULADOR - CUSTO PROJETOS'!H392,IF('SIMULADOR - DADOS'!F13=53,'SIMULADOR - CUSTO PROJETOS'!H410,IF('SIMULADOR - DADOS'!F13=54,'SIMULADOR - CUSTO PROJETOS'!H428,IF('SIMULADOR - DADOS'!F13=55,'SIMULADOR - CUSTO PROJETOS'!H447,IF('SIMULADOR - DADOS'!F13=61,'SIMULADOR - CUSTO PROJETOS'!H464,IF('SIMULADOR - DADOS'!F13=62,'SIMULADOR - CUSTO PROJETOS'!H482,IF('SIMULADOR - DADOS'!F13=63,'SIMULADOR - CUSTO PROJETOS'!H500,IF('SIMULADOR - DADOS'!F13=64,'SIMULADOR - CUSTO PROJETOS'!H518,IF('SIMULADOR - DADOS'!F13=65,'SIMULADOR - CUSTO PROJETOS'!H536,IF('SIMULADOR - DADOS'!F13=71,'SIMULADOR - CUSTO PROJETOS'!H554,IF('SIMULADOR - DADOS'!F13=72,'SIMULADOR - CUSTO PROJETOS'!H572,IF('SIMULADOR - DADOS'!F13=73,'SIMULADOR - CUSTO PROJETOS'!H590,IF('SIMULADOR - DADOS'!F13=74,'SIMULADOR - CUSTO PROJETOS'!H608,IF('SIMULADOR - DADOS'!F13=75,'SIMULADOR - CUSTO PROJETOS'!H626,IF('SIMULADOR - DADOS'!F13=81,'SIMULADOR - CUSTO PROJETOS'!H636,IF('SIMULADOR - DADOS'!F13=83,'SIMULADOR - CUSTO PROJETOS'!H642,IF('SIMULADOR - DADOS'!F13=82,'SIMULADOR - CUSTO PROJETOS'!H655))))))))))))))))))))))))))))))))))))</f>
        <v>0</v>
      </c>
      <c r="K42" s="133"/>
      <c r="L42" s="18"/>
      <c r="M42" s="5"/>
    </row>
    <row r="43" spans="2:15" s="2" customFormat="1" ht="15" x14ac:dyDescent="0.2">
      <c r="B43" s="13"/>
      <c r="C43" s="16"/>
      <c r="D43" s="54" t="str">
        <f>IF(J43&gt;0,"Plano Prevenção e Gestão de Resíduos Construção e Demolição (valor único)","")</f>
        <v>Plano Prevenção e Gestão de Resíduos Construção e Demolição (valor único)</v>
      </c>
      <c r="E43" s="54"/>
      <c r="F43" s="17"/>
      <c r="G43" s="17"/>
      <c r="H43" s="40"/>
      <c r="I43" s="17"/>
      <c r="J43" s="132" t="b">
        <f>IF('SIMULADOR - DADOS'!F13=11,'SIMULADOR - CUSTO PROJETOS'!H60,IF('SIMULADOR - DADOS'!F13=12,'SIMULADOR - CUSTO PROJETOS'!H77,IF('SIMULADOR - DADOS'!F13=13,'SIMULADOR - CUSTO PROJETOS'!H94,IF('SIMULADOR - DADOS'!F13=14,'SIMULADOR - CUSTO PROJETOS'!H111,IF('SIMULADOR - DADOS'!F13=21,'SIMULADOR - CUSTO PROJETOS'!H129,IF('SIMULADOR - DADOS'!F13=22,'SIMULADOR - CUSTO PROJETOS'!H146,IF('SIMULADOR - DADOS'!F13=23,'SIMULADOR - CUSTO PROJETOS'!H164,IF('SIMULADOR - DADOS'!F13=24,'SIMULADOR - CUSTO PROJETOS'!H182,IF('SIMULADOR - DADOS'!F13=25,'SIMULADOR - CUSTO PROJETOS'!H200,IF('SIMULADOR - DADOS'!F13=31,'SIMULADOR - CUSTO PROJETOS'!H217,IF('SIMULADOR - DADOS'!F13=32,'SIMULADOR - CUSTO PROJETOS'!H234,IF('SIMULADOR - DADOS'!F13=33,'SIMULADOR - CUSTO PROJETOS'!H251,IF('SIMULADOR - DADOS'!F13=34,'SIMULADOR - CUSTO PROJETOS'!H268,IF('SIMULADOR - DADOS'!F13=41,'SIMULADOR - CUSTO PROJETOS'!H286,IF('SIMULADOR - DADOS'!F13=42,'SIMULADOR - CUSTO PROJETOS'!H303,IF('SIMULADOR - DADOS'!F13=43,'SIMULADOR - CUSTO PROJETOS'!H321,IF('SIMULADOR - DADOS'!F13=44,'SIMULADOR - CUSTO PROJETOS'!H339,IF('SIMULADOR - DADOS'!F13=45,'SIMULADOR - CUSTO PROJETOS'!H357,IF('SIMULADOR - DADOS'!F13=51,'SIMULADOR - CUSTO PROJETOS'!H375,IF('SIMULADOR - DADOS'!F13=52,'SIMULADOR - CUSTO PROJETOS'!H393,IF('SIMULADOR - DADOS'!F13=53,'SIMULADOR - CUSTO PROJETOS'!H411,IF('SIMULADOR - DADOS'!F13=54,'SIMULADOR - CUSTO PROJETOS'!H429,IF('SIMULADOR - DADOS'!F13=55,'SIMULADOR - CUSTO PROJETOS'!H448,IF('SIMULADOR - DADOS'!F13=61,'SIMULADOR - CUSTO PROJETOS'!H465,IF('SIMULADOR - DADOS'!F13=62,'SIMULADOR - CUSTO PROJETOS'!H483,IF('SIMULADOR - DADOS'!F13=63,'SIMULADOR - CUSTO PROJETOS'!H501,IF('SIMULADOR - DADOS'!F13=64,'SIMULADOR - CUSTO PROJETOS'!H519,IF('SIMULADOR - DADOS'!F13=65,'SIMULADOR - CUSTO PROJETOS'!H537,IF('SIMULADOR - DADOS'!F13=71,'SIMULADOR - CUSTO PROJETOS'!H555,IF('SIMULADOR - DADOS'!F13=72,'SIMULADOR - CUSTO PROJETOS'!H573,IF('SIMULADOR - DADOS'!F13=73,'SIMULADOR - CUSTO PROJETOS'!H591,IF('SIMULADOR - DADOS'!F13=74,'SIMULADOR - CUSTO PROJETOS'!H609,IF('SIMULADOR - DADOS'!F13=75,'SIMULADOR - CUSTO PROJETOS'!H627,IF('SIMULADOR - DADOS'!F13=81,'SIMULADOR - CUSTO PROJETOS'!H636,IF('SIMULADOR - DADOS'!F13=83,'SIMULADOR - CUSTO PROJETOS'!H642,IF('SIMULADOR - DADOS'!F13=82,'SIMULADOR - CUSTO PROJETOS'!H656))))))))))))))))))))))))))))))))))))</f>
        <v>0</v>
      </c>
      <c r="K43" s="133"/>
      <c r="L43" s="18"/>
      <c r="M43" s="5"/>
    </row>
    <row r="44" spans="2:15" s="2" customFormat="1" ht="15" x14ac:dyDescent="0.2">
      <c r="B44" s="13"/>
      <c r="C44" s="16"/>
      <c r="D44" s="54" t="str">
        <f>IF(J44&gt;0,"Acompanhamento Técnico da Obra (Direção ou Fiscalização) (valor mensal)","")</f>
        <v>Acompanhamento Técnico da Obra (Direção ou Fiscalização) (valor mensal)</v>
      </c>
      <c r="E44" s="54"/>
      <c r="F44" s="17"/>
      <c r="G44" s="17"/>
      <c r="H44" s="39"/>
      <c r="I44" s="17"/>
      <c r="J44" s="132" t="b">
        <f>IF('SIMULADOR - DADOS'!F13=11,'SIMULADOR - CUSTO PROJETOS'!H61,IF('SIMULADOR - DADOS'!F13=12,'SIMULADOR - CUSTO PROJETOS'!H78,IF('SIMULADOR - DADOS'!F13=13,'SIMULADOR - CUSTO PROJETOS'!H95,IF('SIMULADOR - DADOS'!F13=14,'SIMULADOR - CUSTO PROJETOS'!H112,IF('SIMULADOR - DADOS'!F13=21,'SIMULADOR - CUSTO PROJETOS'!H130,IF('SIMULADOR - DADOS'!F13=22,'SIMULADOR - CUSTO PROJETOS'!H147,IF('SIMULADOR - DADOS'!F13=23,'SIMULADOR - CUSTO PROJETOS'!H165,IF('SIMULADOR - DADOS'!F13=24,'SIMULADOR - CUSTO PROJETOS'!H183,IF('SIMULADOR - DADOS'!F13=25,'SIMULADOR - CUSTO PROJETOS'!H201,IF('SIMULADOR - DADOS'!F13=31,'SIMULADOR - CUSTO PROJETOS'!H218,IF('SIMULADOR - DADOS'!F13=32,'SIMULADOR - CUSTO PROJETOS'!H235,IF('SIMULADOR - DADOS'!F13=33,'SIMULADOR - CUSTO PROJETOS'!H252,IF('SIMULADOR - DADOS'!F13=34,'SIMULADOR - CUSTO PROJETOS'!H269,IF('SIMULADOR - DADOS'!F13=41,'SIMULADOR - CUSTO PROJETOS'!H287,IF('SIMULADOR - DADOS'!F13=42,'SIMULADOR - CUSTO PROJETOS'!H304,IF('SIMULADOR - DADOS'!F13=43,'SIMULADOR - CUSTO PROJETOS'!H322,IF('SIMULADOR - DADOS'!F13=44,'SIMULADOR - CUSTO PROJETOS'!H340,IF('SIMULADOR - DADOS'!F13=45,'SIMULADOR - CUSTO PROJETOS'!H358,IF('SIMULADOR - DADOS'!F13=51,'SIMULADOR - CUSTO PROJETOS'!H376,IF('SIMULADOR - DADOS'!F13=52,'SIMULADOR - CUSTO PROJETOS'!H394,IF('SIMULADOR - DADOS'!F13=53,'SIMULADOR - CUSTO PROJETOS'!H412,IF('SIMULADOR - DADOS'!F13=54,'SIMULADOR - CUSTO PROJETOS'!H430,IF('SIMULADOR - DADOS'!F13=55,'SIMULADOR - CUSTO PROJETOS'!H449,IF('SIMULADOR - DADOS'!F13=61,'SIMULADOR - CUSTO PROJETOS'!H466,IF('SIMULADOR - DADOS'!F13=62,'SIMULADOR - CUSTO PROJETOS'!H484,IF('SIMULADOR - DADOS'!F13=63,'SIMULADOR - CUSTO PROJETOS'!H502,IF('SIMULADOR - DADOS'!F13=64,'SIMULADOR - CUSTO PROJETOS'!H520,IF('SIMULADOR - DADOS'!F13=65,'SIMULADOR - CUSTO PROJETOS'!H538,IF('SIMULADOR - DADOS'!F13=71,'SIMULADOR - CUSTO PROJETOS'!H556,IF('SIMULADOR - DADOS'!F13=72,'SIMULADOR - CUSTO PROJETOS'!H574,IF('SIMULADOR - DADOS'!F13=73,'SIMULADOR - CUSTO PROJETOS'!H592,IF('SIMULADOR - DADOS'!F13=74,'SIMULADOR - CUSTO PROJETOS'!H610,IF('SIMULADOR - DADOS'!F13=75,'SIMULADOR - CUSTO PROJETOS'!H628,IF('SIMULADOR - DADOS'!F13=81,'SIMULADOR - CUSTO PROJETOS'!H636,IF('SIMULADOR - DADOS'!F13=83,'SIMULADOR - CUSTO PROJETOS'!H642,IF('SIMULADOR - DADOS'!F13=82,'SIMULADOR - CUSTO PROJETOS'!H657))))))))))))))))))))))))))))))))))))</f>
        <v>0</v>
      </c>
      <c r="K44" s="133"/>
      <c r="L44" s="18"/>
      <c r="M44" s="5"/>
    </row>
    <row r="45" spans="2:15" s="21" customFormat="1" ht="12" thickBot="1" x14ac:dyDescent="0.25"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28"/>
    </row>
    <row r="46" spans="2:15" s="1" customFormat="1" ht="15.75" x14ac:dyDescent="0.25">
      <c r="L46" s="4"/>
      <c r="M46" s="3"/>
    </row>
    <row r="47" spans="2:15" hidden="1" x14ac:dyDescent="0.2">
      <c r="K47" s="32"/>
      <c r="L47" s="32"/>
    </row>
    <row r="48" spans="2:15" ht="15" hidden="1" x14ac:dyDescent="0.2">
      <c r="B48" s="2" t="s">
        <v>415</v>
      </c>
      <c r="H48" s="2">
        <f>'SIMULADOR - DADOS'!E15</f>
        <v>0</v>
      </c>
      <c r="I48" s="2" t="s">
        <v>446</v>
      </c>
      <c r="K48" s="32"/>
      <c r="L48" s="32"/>
    </row>
    <row r="49" spans="2:15" s="2" customFormat="1" ht="15" hidden="1" x14ac:dyDescent="0.2">
      <c r="B49" s="2" t="s">
        <v>378</v>
      </c>
      <c r="H49" s="85"/>
      <c r="K49" s="5"/>
      <c r="N49" s="68"/>
    </row>
    <row r="50" spans="2:15" s="2" customFormat="1" ht="15" hidden="1" x14ac:dyDescent="0.2">
      <c r="B50" s="2" t="s">
        <v>395</v>
      </c>
      <c r="H50" s="5">
        <f>IF((ROUND((H48*'COEFICIENTES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ALTERAR'!E7*(1+('COEFICIENTES A ALTERAR'!E36*0.05))*('SIMULADOR - DADOS'!F22*'SIMULADOR - DADOS'!F24*'SIMULADOR - DADOS'!F25*'SIMULADOR - DADOS'!F26*'SIMULADOR - DADOS'!F27*'SIMULADOR - DADOS'!I24)),-1))</f>
        <v>220</v>
      </c>
      <c r="K50" s="5">
        <f>IF((ROUND((H48*'COEFICIENTES A ALTERAR'!E7*('SIMULADOR - DADOS'!F22*'SIMULADOR - DADOS'!F24*'SIMULADOR - DADOS'!F25*'SIMULADOR - DADOS'!F26*'SIMULADOR - DADOS'!F27*'SIMULADOR - DADOS'!I24)),-1))&lt;ROUND(('COEFICIENTES A ALTERAR'!E29),-1),ROUND(('COEFICIENTES A ALTERAR'!E29),-1),ROUND((H48*'COEFICIENTES A ALTERAR'!E7*('SIMULADOR - DADOS'!F22*'SIMULADOR - DADOS'!F24*'SIMULADOR - DADOS'!F25*'SIMULADOR - DADOS'!F26*'SIMULADOR - DADOS'!F27*'SIMULADOR - DADOS'!I24)),-1))</f>
        <v>220</v>
      </c>
      <c r="N50" s="68">
        <f t="shared" ref="N50:N55" si="0">ROUND(((K50/H50)-1),1)</f>
        <v>0</v>
      </c>
    </row>
    <row r="51" spans="2:15" s="2" customFormat="1" ht="15" hidden="1" x14ac:dyDescent="0.2">
      <c r="B51" s="2" t="s">
        <v>426</v>
      </c>
      <c r="H51" s="5">
        <f>IF((ROUND((H48*'COEFICIENTES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ALTERAR'!E11*(1+('COEFICIENTES A ALTERAR'!E36*0.05))*('SIMULADOR - DADOS'!F22*'SIMULADOR - DADOS'!F24*'SIMULADOR - DADOS'!F25*'SIMULADOR - DADOS'!F26*'SIMULADOR - DADOS'!F27*'SIMULADOR - DADOS'!I24)),-1))</f>
        <v>220</v>
      </c>
      <c r="K51" s="5">
        <f>IF((ROUND((H48*'COEFICIENTES A ALTERAR'!E11*('SIMULADOR - DADOS'!F22*'SIMULADOR - DADOS'!F24*'SIMULADOR - DADOS'!F25*'SIMULADOR - DADOS'!F26*'SIMULADOR - DADOS'!F27*'SIMULADOR - DADOS'!I24)),-1))&lt;ROUND(('COEFICIENTES A ALTERAR'!E29),-1),ROUND(('COEFICIENTES A ALTERAR'!E29),-1),ROUND((H48*'COEFICIENTES A ALTERAR'!E11*('SIMULADOR - DADOS'!F22*'SIMULADOR - DADOS'!F24*'SIMULADOR - DADOS'!F25*'SIMULADOR - DADOS'!F26*'SIMULADOR - DADOS'!F27*'SIMULADOR - DADOS'!I24)),-1))</f>
        <v>220</v>
      </c>
      <c r="N51" s="68">
        <f t="shared" si="0"/>
        <v>0</v>
      </c>
      <c r="O51" s="68"/>
    </row>
    <row r="52" spans="2:15" s="2" customFormat="1" ht="15" hidden="1" x14ac:dyDescent="0.2">
      <c r="B52" s="2" t="s">
        <v>405</v>
      </c>
      <c r="H52" s="5">
        <f>IF((ROUND((H48*'COEFICIENTES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ALTERAR'!E13*(1+('COEFICIENTES A ALTERAR'!E36*0.05))*('SIMULADOR - DADOS'!F22*'SIMULADOR - DADOS'!F24*'SIMULADOR - DADOS'!F25*'SIMULADOR - DADOS'!F26*'SIMULADOR - DADOS'!F27*'SIMULADOR - DADOS'!I24)),-1))</f>
        <v>220</v>
      </c>
      <c r="K52" s="5">
        <f>IF((ROUND((H48*'COEFICIENTES A ALTERAR'!E13*('SIMULADOR - DADOS'!F22*'SIMULADOR - DADOS'!F24*'SIMULADOR - DADOS'!F25*'SIMULADOR - DADOS'!F26*'SIMULADOR - DADOS'!F27*'SIMULADOR - DADOS'!I24)),-1))&lt;ROUND(('COEFICIENTES A ALTERAR'!E29),-1),ROUND(('COEFICIENTES A ALTERAR'!E29),-1),ROUND((H48*'COEFICIENTES A ALTERAR'!E13*('SIMULADOR - DADOS'!F22*'SIMULADOR - DADOS'!F24*'SIMULADOR - DADOS'!F25*'SIMULADOR - DADOS'!F26*'SIMULADOR - DADOS'!F27*'SIMULADOR - DADOS'!I24)),-1))</f>
        <v>220</v>
      </c>
      <c r="N52" s="68">
        <f t="shared" si="0"/>
        <v>0</v>
      </c>
      <c r="O52" s="68">
        <f>IF(N52&gt;N51,N52,N51)</f>
        <v>0</v>
      </c>
    </row>
    <row r="53" spans="2:15" s="2" customFormat="1" ht="15" hidden="1" x14ac:dyDescent="0.2">
      <c r="B53" s="2" t="s">
        <v>406</v>
      </c>
      <c r="H53" s="5">
        <f>IF((ROUND((H48*'COEFICIENTES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ALTERAR'!E15*(1+('COEFICIENTES A ALTERAR'!E36*0.05))*('SIMULADOR - DADOS'!F22*'SIMULADOR - DADOS'!F24*'SIMULADOR - DADOS'!F25*'SIMULADOR - DADOS'!F26*'SIMULADOR - DADOS'!F27*'SIMULADOR - DADOS'!I24)),-1))</f>
        <v>220</v>
      </c>
      <c r="K53" s="5">
        <f>IF((ROUND((H48*'COEFICIENTES A ALTERAR'!E15*('SIMULADOR - DADOS'!F22*'SIMULADOR - DADOS'!F24*'SIMULADOR - DADOS'!F25*'SIMULADOR - DADOS'!F26*'SIMULADOR - DADOS'!F27*'SIMULADOR - DADOS'!I24)),-1))&lt;ROUND(('COEFICIENTES A ALTERAR'!E29),-1),ROUND(('COEFICIENTES A ALTERAR'!E29),-1),ROUND((H48*'COEFICIENTES A ALTERAR'!E15*('SIMULADOR - DADOS'!F22*'SIMULADOR - DADOS'!F24*'SIMULADOR - DADOS'!F25*'SIMULADOR - DADOS'!F26*'SIMULADOR - DADOS'!F27*'SIMULADOR - DADOS'!I24)),-1))</f>
        <v>220</v>
      </c>
      <c r="N53" s="68">
        <f t="shared" si="0"/>
        <v>0</v>
      </c>
      <c r="O53" s="68">
        <f>IF(N53&gt;N52,N53,N52)</f>
        <v>0</v>
      </c>
    </row>
    <row r="54" spans="2:15" s="2" customFormat="1" ht="15" hidden="1" x14ac:dyDescent="0.2">
      <c r="B54" s="2" t="s">
        <v>407</v>
      </c>
      <c r="H54" s="5">
        <f>IF((ROUND((H48*'COEFICIENTES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ALTERAR'!E17*(1+('COEFICIENTES A ALTERAR'!E36*0.05))*('SIMULADOR - DADOS'!F22*'SIMULADOR - DADOS'!F24*'SIMULADOR - DADOS'!F25*'SIMULADOR - DADOS'!F26*'SIMULADOR - DADOS'!F27*'SIMULADOR - DADOS'!I24)),-1))</f>
        <v>220</v>
      </c>
      <c r="K54" s="5">
        <f>IF((ROUND((H48*'COEFICIENTES A ALTERAR'!E17*('SIMULADOR - DADOS'!F22*'SIMULADOR - DADOS'!F24*'SIMULADOR - DADOS'!F25*'SIMULADOR - DADOS'!F26*'SIMULADOR - DADOS'!F27*'SIMULADOR - DADOS'!I24)),-1))&lt;ROUND(('COEFICIENTES A ALTERAR'!E29),-1),ROUND(('COEFICIENTES A ALTERAR'!E29),-1),ROUND((H48*'COEFICIENTES A ALTERAR'!E17*('SIMULADOR - DADOS'!F22*'SIMULADOR - DADOS'!F24*'SIMULADOR - DADOS'!F25*'SIMULADOR - DADOS'!F26*'SIMULADOR - DADOS'!F27*'SIMULADOR - DADOS'!I24)),-1))</f>
        <v>220</v>
      </c>
      <c r="N54" s="68">
        <f t="shared" si="0"/>
        <v>0</v>
      </c>
      <c r="O54" s="68">
        <f>IF(N54&gt;N53,N54,N53)</f>
        <v>0</v>
      </c>
    </row>
    <row r="55" spans="2:15" s="2" customFormat="1" ht="15" hidden="1" x14ac:dyDescent="0.2">
      <c r="B55" s="2" t="s">
        <v>408</v>
      </c>
      <c r="H55" s="5">
        <f>IF((ROUND((H48*'COEFICIENTES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ALTERAR'!E29),-1),ROUND((H48*'COEFICIENTES A ALTERAR'!E19*(1+('COEFICIENTES A ALTERAR'!E36*0.05))*('SIMULADOR - DADOS'!F22*'SIMULADOR - DADOS'!F24*'SIMULADOR - DADOS'!F25*'SIMULADOR - DADOS'!F26*'SIMULADOR - DADOS'!F27*'SIMULADOR - DADOS'!I24)),-1))</f>
        <v>220</v>
      </c>
      <c r="K55" s="5">
        <f>IF((ROUND((H48*'COEFICIENTES A ALTERAR'!E19*('SIMULADOR - DADOS'!F22*'SIMULADOR - DADOS'!F24*'SIMULADOR - DADOS'!F25*'SIMULADOR - DADOS'!F26*'SIMULADOR - DADOS'!F27*'SIMULADOR - DADOS'!I24)),-1))&lt;ROUND(('COEFICIENTES A ALTERAR'!E29),-1),ROUND(('COEFICIENTES A ALTERAR'!E29),-1),ROUND((H48*'COEFICIENTES A ALTERAR'!E19*('SIMULADOR - DADOS'!F22*'SIMULADOR - DADOS'!F24*'SIMULADOR - DADOS'!F25*'SIMULADOR - DADOS'!F26*'SIMULADOR - DADOS'!F27*'SIMULADOR - DADOS'!I24)),-1))</f>
        <v>220</v>
      </c>
      <c r="N55" s="68">
        <f t="shared" si="0"/>
        <v>0</v>
      </c>
      <c r="O55" s="68">
        <f>IF(N55&gt;N54,N55,N54)</f>
        <v>0</v>
      </c>
    </row>
    <row r="56" spans="2:15" s="2" customFormat="1" ht="15" hidden="1" x14ac:dyDescent="0.2">
      <c r="B56" s="2" t="s">
        <v>409</v>
      </c>
      <c r="H56" s="85"/>
      <c r="K56" s="5"/>
      <c r="N56" s="68"/>
      <c r="O56" s="68"/>
    </row>
    <row r="57" spans="2:15" s="2" customFormat="1" ht="15" hidden="1" x14ac:dyDescent="0.2">
      <c r="B57" s="2" t="s">
        <v>410</v>
      </c>
      <c r="H57" s="85"/>
      <c r="K57" s="5"/>
      <c r="N57" s="68"/>
      <c r="O57" s="68"/>
    </row>
    <row r="58" spans="2:15" s="2" customFormat="1" ht="15" hidden="1" x14ac:dyDescent="0.2">
      <c r="B58" s="2" t="s">
        <v>411</v>
      </c>
      <c r="H58" s="5">
        <f>ROUND(('COEFICIENTES A ALTERAR'!E27*('SIMULADOR - DADOS'!F22*'SIMULADOR - DADOS'!F24*'SIMULADOR - DADOS'!F25*'SIMULADOR - DADOS'!F26*'SIMULADOR - DADOS'!F27*'SIMULADOR - DADOS'!I24)),-1)</f>
        <v>0</v>
      </c>
      <c r="K58" s="5"/>
      <c r="N58" s="68"/>
      <c r="O58" s="68"/>
    </row>
    <row r="59" spans="2:15" s="2" customFormat="1" ht="15" hidden="1" x14ac:dyDescent="0.2">
      <c r="B59" s="2" t="s">
        <v>431</v>
      </c>
      <c r="H59" s="5">
        <f>ROUND(('COEFICIENTES A ALTERAR'!E31*(1.5^(O61-1))*(1+('COEFICIENTES A ALTERAR'!E36*0.05))*('SIMULADOR - DADOS'!F22*'SIMULADOR - DADOS'!F24*'SIMULADOR - DADOS'!F25*'SIMULADOR - DADOS'!F26*'SIMULADOR - DADOS'!F27*'SIMULADOR - DADOS'!I24)),-1)</f>
        <v>0</v>
      </c>
      <c r="K59" s="5"/>
      <c r="N59" s="68"/>
      <c r="O59" s="68"/>
    </row>
    <row r="60" spans="2:15" s="2" customFormat="1" ht="15" hidden="1" x14ac:dyDescent="0.2">
      <c r="B60" s="2" t="s">
        <v>432</v>
      </c>
      <c r="H60" s="5">
        <f>IF(H59/2&lt;'COEFICIENTES A ALTERAR'!E31,ROUND(('COEFICIENTES A ALTERAR'!E31),-1),H59/2)</f>
        <v>100</v>
      </c>
      <c r="K60" s="5"/>
      <c r="N60" s="68"/>
      <c r="O60" s="68"/>
    </row>
    <row r="61" spans="2:15" s="2" customFormat="1" ht="15" hidden="1" x14ac:dyDescent="0.2">
      <c r="B61" s="2" t="s">
        <v>433</v>
      </c>
      <c r="H61" s="5">
        <f>ROUND(('COEFICIENTES A ALTERAR'!E33*(1.5^(O61-1))*(1+('COEFICIENTES A ALTERAR'!E36*0.05))*('SIMULADOR - DADOS'!F22*'SIMULADOR - DADOS'!F24*'SIMULADOR - DADOS'!F25*'SIMULADOR - DADOS'!F26*'SIMULADOR - DADOS'!F27*'SIMULADOR - DADOS'!I24)),-1)</f>
        <v>0</v>
      </c>
      <c r="J61" s="126">
        <f>H48*'COEFICIENTES A ALTERAR'!E39</f>
        <v>0</v>
      </c>
      <c r="K61" s="127"/>
      <c r="N61" s="68" t="s">
        <v>444</v>
      </c>
      <c r="O61" s="55">
        <f>IF(J61&lt;'COEFICIENTES A ALTERAR'!E40,1,IF('SIMULADOR - CUSTO PROJETOS'!J61&lt;'COEFICIENTES A ALTERAR'!E41,2,IF('SIMULADOR - CUSTO PROJETOS'!J61&lt;'COEFICIENTES A ALTERAR'!E42,3,IF('SIMULADOR - CUSTO PROJETOS'!J61&lt;'COEFICIENTES A ALTERAR'!E43,4,IF('SIMULADOR - CUSTO PROJETOS'!J61&lt;'COEFICIENTES A ALTERAR'!E44,5,IF('SIMULADOR - CUSTO PROJETOS'!J61&lt;'COEFICIENTES A ALTERAR'!E45,6,IF('SIMULADOR - CUSTO PROJETOS'!J61&lt;'COEFICIENTES A ALTERAR'!E46,7,IF('SIMULADOR - CUSTO PROJETOS'!J61&lt;'COEFICIENTES A ALTERAR'!E47,8,9))))))))</f>
        <v>1</v>
      </c>
    </row>
    <row r="62" spans="2:15" hidden="1" x14ac:dyDescent="0.2"/>
    <row r="63" spans="2:15" hidden="1" x14ac:dyDescent="0.2"/>
    <row r="64" spans="2:15" hidden="1" x14ac:dyDescent="0.2">
      <c r="K64" s="32"/>
      <c r="L64" s="32"/>
    </row>
    <row r="65" spans="2:15" ht="15" hidden="1" x14ac:dyDescent="0.2">
      <c r="B65" s="2" t="s">
        <v>445</v>
      </c>
      <c r="H65" s="2">
        <f>(0.75*'SIMULADOR - DADOS'!E15)+(2*'SIMULADOR - DADOS'!E16)</f>
        <v>0</v>
      </c>
      <c r="I65" s="2" t="s">
        <v>446</v>
      </c>
      <c r="K65" s="32"/>
      <c r="L65" s="32"/>
    </row>
    <row r="66" spans="2:15" s="2" customFormat="1" ht="15" hidden="1" x14ac:dyDescent="0.2">
      <c r="B66" s="2" t="s">
        <v>378</v>
      </c>
      <c r="H66" s="85"/>
      <c r="K66" s="5"/>
      <c r="N66" s="68"/>
    </row>
    <row r="67" spans="2:15" s="2" customFormat="1" ht="15" hidden="1" x14ac:dyDescent="0.2">
      <c r="B67" s="2" t="s">
        <v>395</v>
      </c>
      <c r="H67" s="5">
        <f>IF((ROUND((H65*'COEFICIENTES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ALTERAR'!E7*(1+('COEFICIENTES A ALTERAR'!E36*0.05))*('SIMULADOR - DADOS'!F22*'SIMULADOR - DADOS'!F24*'SIMULADOR - DADOS'!F25*'SIMULADOR - DADOS'!F26*'SIMULADOR - DADOS'!F27*'SIMULADOR - DADOS'!I24)),-1))</f>
        <v>220</v>
      </c>
      <c r="K67" s="5">
        <f>IF((ROUND((H65*'COEFICIENTES A ALTERAR'!E7*('SIMULADOR - DADOS'!F22*'SIMULADOR - DADOS'!F24*'SIMULADOR - DADOS'!F25*'SIMULADOR - DADOS'!F26*'SIMULADOR - DADOS'!F27*'SIMULADOR - DADOS'!I24)),-1))&lt;ROUND(('COEFICIENTES A ALTERAR'!E29),-1),ROUND(('COEFICIENTES A ALTERAR'!E29),-1),ROUND((H65*'COEFICIENTES A ALTERAR'!E7*('SIMULADOR - DADOS'!F22*'SIMULADOR - DADOS'!F24*'SIMULADOR - DADOS'!F25*'SIMULADOR - DADOS'!F26*'SIMULADOR - DADOS'!F27*'SIMULADOR - DADOS'!I24)),-1))</f>
        <v>220</v>
      </c>
      <c r="N67" s="68">
        <f t="shared" ref="N67:N72" si="1">ROUND(((K67/H67)-1),1)</f>
        <v>0</v>
      </c>
    </row>
    <row r="68" spans="2:15" s="2" customFormat="1" ht="15" hidden="1" x14ac:dyDescent="0.2">
      <c r="B68" s="2" t="s">
        <v>426</v>
      </c>
      <c r="H68" s="5">
        <f>IF((ROUND((H65*'COEFICIENTES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ALTERAR'!E11*(1+('COEFICIENTES A ALTERAR'!E36*0.05))*('SIMULADOR - DADOS'!F22*'SIMULADOR - DADOS'!F24*'SIMULADOR - DADOS'!F25*'SIMULADOR - DADOS'!F26*'SIMULADOR - DADOS'!F27*'SIMULADOR - DADOS'!I24)),-1))</f>
        <v>220</v>
      </c>
      <c r="K68" s="5">
        <f>IF((ROUND((H65*'COEFICIENTES A ALTERAR'!E11*('SIMULADOR - DADOS'!F22*'SIMULADOR - DADOS'!F24*'SIMULADOR - DADOS'!F25*'SIMULADOR - DADOS'!F26*'SIMULADOR - DADOS'!F27*'SIMULADOR - DADOS'!I24)),-1))&lt;ROUND(('COEFICIENTES A ALTERAR'!E29),-1),ROUND(('COEFICIENTES A ALTERAR'!E29),-1),ROUND((H65*'COEFICIENTES A ALTERAR'!E11*('SIMULADOR - DADOS'!F22*'SIMULADOR - DADOS'!F24*'SIMULADOR - DADOS'!F25*'SIMULADOR - DADOS'!F26*'SIMULADOR - DADOS'!F27*'SIMULADOR - DADOS'!I24)),-1))</f>
        <v>220</v>
      </c>
      <c r="N68" s="68">
        <f t="shared" si="1"/>
        <v>0</v>
      </c>
      <c r="O68" s="68"/>
    </row>
    <row r="69" spans="2:15" s="2" customFormat="1" ht="15" hidden="1" x14ac:dyDescent="0.2">
      <c r="B69" s="2" t="s">
        <v>405</v>
      </c>
      <c r="H69" s="5">
        <f>IF((ROUND((H65*'COEFICIENTES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ALTERAR'!E13*(1+('COEFICIENTES A ALTERAR'!E36*0.05))*('SIMULADOR - DADOS'!F22*'SIMULADOR - DADOS'!F24*'SIMULADOR - DADOS'!F25*'SIMULADOR - DADOS'!F26*'SIMULADOR - DADOS'!F27*'SIMULADOR - DADOS'!I24)),-1))</f>
        <v>220</v>
      </c>
      <c r="K69" s="5">
        <f>IF((ROUND((H65*'COEFICIENTES A ALTERAR'!E13*('SIMULADOR - DADOS'!F22*'SIMULADOR - DADOS'!F24*'SIMULADOR - DADOS'!F25*'SIMULADOR - DADOS'!F26*'SIMULADOR - DADOS'!F27*'SIMULADOR - DADOS'!I24)),-1))&lt;ROUND(('COEFICIENTES A ALTERAR'!E29),-1),ROUND(('COEFICIENTES A ALTERAR'!E29),-1),ROUND((H65*'COEFICIENTES A ALTERAR'!E13*('SIMULADOR - DADOS'!F22*'SIMULADOR - DADOS'!F24*'SIMULADOR - DADOS'!F25*'SIMULADOR - DADOS'!F26*'SIMULADOR - DADOS'!F27*'SIMULADOR - DADOS'!I24)),-1))</f>
        <v>220</v>
      </c>
      <c r="N69" s="68">
        <f t="shared" si="1"/>
        <v>0</v>
      </c>
      <c r="O69" s="68">
        <f>IF(N69&gt;N68,N69,N68)</f>
        <v>0</v>
      </c>
    </row>
    <row r="70" spans="2:15" s="2" customFormat="1" ht="15" hidden="1" x14ac:dyDescent="0.2">
      <c r="B70" s="2" t="s">
        <v>406</v>
      </c>
      <c r="H70" s="5">
        <f>IF((ROUND((H65*'COEFICIENTES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ALTERAR'!E15*(1+('COEFICIENTES A ALTERAR'!E36*0.05))*('SIMULADOR - DADOS'!F22*'SIMULADOR - DADOS'!F24*'SIMULADOR - DADOS'!F25*'SIMULADOR - DADOS'!F26*'SIMULADOR - DADOS'!F27*'SIMULADOR - DADOS'!I24)),-1))</f>
        <v>220</v>
      </c>
      <c r="K70" s="5">
        <f>IF((ROUND((H65*'COEFICIENTES A ALTERAR'!E15*('SIMULADOR - DADOS'!F22*'SIMULADOR - DADOS'!F24*'SIMULADOR - DADOS'!F25*'SIMULADOR - DADOS'!F26*'SIMULADOR - DADOS'!F27*'SIMULADOR - DADOS'!I24)),-1))&lt;ROUND(('COEFICIENTES A ALTERAR'!E29),-1),ROUND(('COEFICIENTES A ALTERAR'!E29),-1),ROUND((H65*'COEFICIENTES A ALTERAR'!E15*('SIMULADOR - DADOS'!F22*'SIMULADOR - DADOS'!F24*'SIMULADOR - DADOS'!F25*'SIMULADOR - DADOS'!F26*'SIMULADOR - DADOS'!F27*'SIMULADOR - DADOS'!I24)),-1))</f>
        <v>220</v>
      </c>
      <c r="N70" s="68">
        <f t="shared" si="1"/>
        <v>0</v>
      </c>
      <c r="O70" s="68">
        <f>IF(N70&gt;N69,N70,N69)</f>
        <v>0</v>
      </c>
    </row>
    <row r="71" spans="2:15" s="2" customFormat="1" ht="15" hidden="1" x14ac:dyDescent="0.2">
      <c r="B71" s="2" t="s">
        <v>407</v>
      </c>
      <c r="H71" s="5">
        <f>IF((ROUND((H65*'COEFICIENTES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ALTERAR'!E17*(1+('COEFICIENTES A ALTERAR'!E36*0.05))*('SIMULADOR - DADOS'!F22*'SIMULADOR - DADOS'!F24*'SIMULADOR - DADOS'!F25*'SIMULADOR - DADOS'!F26*'SIMULADOR - DADOS'!F27*'SIMULADOR - DADOS'!I24)),-1))</f>
        <v>220</v>
      </c>
      <c r="K71" s="5">
        <f>IF((ROUND((H65*'COEFICIENTES A ALTERAR'!E17*('SIMULADOR - DADOS'!F22*'SIMULADOR - DADOS'!F24*'SIMULADOR - DADOS'!F25*'SIMULADOR - DADOS'!F26*'SIMULADOR - DADOS'!F27*'SIMULADOR - DADOS'!I24)),-1))&lt;ROUND(('COEFICIENTES A ALTERAR'!E29),-1),ROUND(('COEFICIENTES A ALTERAR'!E29),-1),ROUND((H65*'COEFICIENTES A ALTERAR'!E17*('SIMULADOR - DADOS'!F22*'SIMULADOR - DADOS'!F24*'SIMULADOR - DADOS'!F25*'SIMULADOR - DADOS'!F26*'SIMULADOR - DADOS'!F27*'SIMULADOR - DADOS'!I24)),-1))</f>
        <v>220</v>
      </c>
      <c r="N71" s="68">
        <f t="shared" si="1"/>
        <v>0</v>
      </c>
      <c r="O71" s="68">
        <f>IF(N71&gt;N70,N71,N70)</f>
        <v>0</v>
      </c>
    </row>
    <row r="72" spans="2:15" s="2" customFormat="1" ht="15" hidden="1" x14ac:dyDescent="0.2">
      <c r="B72" s="2" t="s">
        <v>408</v>
      </c>
      <c r="H72" s="5">
        <f>IF((ROUND((H65*'COEFICIENTES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ALTERAR'!E29),-1),ROUND((H65*'COEFICIENTES A ALTERAR'!E19*(1+('COEFICIENTES A ALTERAR'!E36*0.05))*('SIMULADOR - DADOS'!F22*'SIMULADOR - DADOS'!F24*'SIMULADOR - DADOS'!F25*'SIMULADOR - DADOS'!F26*'SIMULADOR - DADOS'!F27*'SIMULADOR - DADOS'!I24)),-1))</f>
        <v>220</v>
      </c>
      <c r="K72" s="5">
        <f>IF((ROUND((H65*'COEFICIENTES A ALTERAR'!E19*('SIMULADOR - DADOS'!F22*'SIMULADOR - DADOS'!F24*'SIMULADOR - DADOS'!F25*'SIMULADOR - DADOS'!F26*'SIMULADOR - DADOS'!F27*'SIMULADOR - DADOS'!I24)),-1))&lt;ROUND(('COEFICIENTES A ALTERAR'!E29),-1),ROUND(('COEFICIENTES A ALTERAR'!E29),-1),ROUND((H65*'COEFICIENTES A ALTERAR'!E19*('SIMULADOR - DADOS'!F22*'SIMULADOR - DADOS'!F24*'SIMULADOR - DADOS'!F25*'SIMULADOR - DADOS'!F26*'SIMULADOR - DADOS'!F27*'SIMULADOR - DADOS'!I24)),-1))</f>
        <v>220</v>
      </c>
      <c r="N72" s="68">
        <f t="shared" si="1"/>
        <v>0</v>
      </c>
      <c r="O72" s="68">
        <f>IF(N72&gt;N71,N72,N71)</f>
        <v>0</v>
      </c>
    </row>
    <row r="73" spans="2:15" s="2" customFormat="1" ht="15" hidden="1" x14ac:dyDescent="0.2">
      <c r="B73" s="2" t="s">
        <v>409</v>
      </c>
      <c r="H73" s="85"/>
      <c r="K73" s="5"/>
      <c r="N73" s="68"/>
      <c r="O73" s="68"/>
    </row>
    <row r="74" spans="2:15" s="2" customFormat="1" ht="15" hidden="1" x14ac:dyDescent="0.2">
      <c r="B74" s="2" t="s">
        <v>410</v>
      </c>
      <c r="H74" s="5">
        <f>ROUND('COEFICIENTES A ALTERAR'!E29,-1)</f>
        <v>220</v>
      </c>
      <c r="K74" s="5">
        <f>ROUND('COEFICIENTES A ALTERAR'!E29,-1)</f>
        <v>220</v>
      </c>
      <c r="N74" s="68">
        <f>ROUND(((K74/H74)-1),1)</f>
        <v>0</v>
      </c>
      <c r="O74" s="68">
        <f>IF(N74&gt;N72,N74,N72)</f>
        <v>0</v>
      </c>
    </row>
    <row r="75" spans="2:15" s="2" customFormat="1" ht="15" hidden="1" x14ac:dyDescent="0.2">
      <c r="B75" s="2" t="s">
        <v>411</v>
      </c>
      <c r="H75" s="5">
        <f>ROUND(('COEFICIENTES A ALTERAR'!E27*('SIMULADOR - DADOS'!F22*'SIMULADOR - DADOS'!F24*'SIMULADOR - DADOS'!F25*'SIMULADOR - DADOS'!F26*'SIMULADOR - DADOS'!F27*'SIMULADOR - DADOS'!I24)),-1)</f>
        <v>0</v>
      </c>
      <c r="K75" s="5"/>
      <c r="N75" s="68"/>
      <c r="O75" s="68"/>
    </row>
    <row r="76" spans="2:15" s="2" customFormat="1" ht="15" hidden="1" x14ac:dyDescent="0.2">
      <c r="B76" s="2" t="s">
        <v>431</v>
      </c>
      <c r="H76" s="5">
        <f>ROUND(('COEFICIENTES A ALTERAR'!E31*(1.5^(O78-1))*(1+('COEFICIENTES A ALTERAR'!E36*0.05))*('SIMULADOR - DADOS'!F22*'SIMULADOR - DADOS'!F24*'SIMULADOR - DADOS'!F25*'SIMULADOR - DADOS'!F26*'SIMULADOR - DADOS'!F27*'SIMULADOR - DADOS'!I24)),-1)</f>
        <v>0</v>
      </c>
      <c r="K76" s="5"/>
      <c r="N76" s="68"/>
      <c r="O76" s="68"/>
    </row>
    <row r="77" spans="2:15" s="2" customFormat="1" ht="15" hidden="1" x14ac:dyDescent="0.2">
      <c r="B77" s="2" t="s">
        <v>432</v>
      </c>
      <c r="H77" s="5">
        <f>IF(H76/2&lt;'COEFICIENTES A ALTERAR'!E31,ROUND(('COEFICIENTES A ALTERAR'!E31),-1),H76/2)</f>
        <v>100</v>
      </c>
      <c r="K77" s="5"/>
      <c r="N77" s="68"/>
      <c r="O77" s="68"/>
    </row>
    <row r="78" spans="2:15" s="2" customFormat="1" ht="15" hidden="1" x14ac:dyDescent="0.2">
      <c r="B78" s="2" t="s">
        <v>433</v>
      </c>
      <c r="H78" s="5">
        <f>ROUND(('COEFICIENTES A ALTERAR'!E33*(1.5^(O78-1))*(1+('COEFICIENTES A ALTERAR'!E36*0.05))*('SIMULADOR - DADOS'!F22*'SIMULADOR - DADOS'!F24*'SIMULADOR - DADOS'!F25*'SIMULADOR - DADOS'!F26*'SIMULADOR - DADOS'!F27*'SIMULADOR - DADOS'!I24)),-1)</f>
        <v>0</v>
      </c>
      <c r="J78" s="126">
        <f>H65*'COEFICIENTES A ALTERAR'!E39</f>
        <v>0</v>
      </c>
      <c r="K78" s="127"/>
      <c r="N78" s="68" t="s">
        <v>444</v>
      </c>
      <c r="O78" s="55">
        <f>IF(J78&lt;'COEFICIENTES A ALTERAR'!E40,1,IF('SIMULADOR - CUSTO PROJETOS'!J78&lt;'COEFICIENTES A ALTERAR'!E41,2,IF('SIMULADOR - CUSTO PROJETOS'!J78&lt;'COEFICIENTES A ALTERAR'!E42,3,IF('SIMULADOR - CUSTO PROJETOS'!J78&lt;'COEFICIENTES A ALTERAR'!E43,4,IF('SIMULADOR - CUSTO PROJETOS'!J78&lt;'COEFICIENTES A ALTERAR'!E44,5,IF('SIMULADOR - CUSTO PROJETOS'!J78&lt;'COEFICIENTES A ALTERAR'!E45,6,IF('SIMULADOR - CUSTO PROJETOS'!J78&lt;'COEFICIENTES A ALTERAR'!E46,7,IF('SIMULADOR - CUSTO PROJETOS'!J78&lt;'COEFICIENTES A ALTERAR'!E47,8,9))))))))</f>
        <v>1</v>
      </c>
    </row>
    <row r="79" spans="2:15" hidden="1" x14ac:dyDescent="0.2"/>
    <row r="80" spans="2:15" hidden="1" x14ac:dyDescent="0.2"/>
    <row r="81" spans="2:15" hidden="1" x14ac:dyDescent="0.2"/>
    <row r="82" spans="2:15" ht="15" hidden="1" x14ac:dyDescent="0.2">
      <c r="B82" s="2" t="s">
        <v>447</v>
      </c>
      <c r="H82" s="2">
        <f>'SIMULADOR - DADOS'!E15*0.75</f>
        <v>0</v>
      </c>
      <c r="I82" s="2" t="s">
        <v>446</v>
      </c>
      <c r="K82" s="32"/>
      <c r="L82" s="32"/>
    </row>
    <row r="83" spans="2:15" s="2" customFormat="1" ht="15" hidden="1" x14ac:dyDescent="0.2">
      <c r="B83" s="2" t="s">
        <v>378</v>
      </c>
      <c r="H83" s="85"/>
      <c r="K83" s="5"/>
      <c r="N83" s="68"/>
    </row>
    <row r="84" spans="2:15" s="2" customFormat="1" ht="15" hidden="1" x14ac:dyDescent="0.2">
      <c r="B84" s="2" t="s">
        <v>395</v>
      </c>
      <c r="H84" s="5">
        <f>IF((ROUND((H82*'COEFICIENTES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ALTERAR'!E29),-1),ROUND((H82*'COEFICIENTES A ALTERAR'!E7*(1+('COEFICIENTES A ALTERAR'!E36*0.05))*('SIMULADOR - DADOS'!F22*'SIMULADOR - DADOS'!F24*'SIMULADOR - DADOS'!F25*'SIMULADOR - DADOS'!F26*'SIMULADOR - DADOS'!F27*'SIMULADOR - DADOS'!I24)),-1))</f>
        <v>220</v>
      </c>
      <c r="K84" s="5">
        <f>IF((ROUND((H82*'COEFICIENTES A ALTERAR'!E7*('SIMULADOR - DADOS'!F22*'SIMULADOR - DADOS'!F24*'SIMULADOR - DADOS'!F25*'SIMULADOR - DADOS'!F26*'SIMULADOR - DADOS'!F27*'SIMULADOR - DADOS'!I24)),-1))&lt;ROUND(('COEFICIENTES A ALTERAR'!E29),-1),ROUND(('COEFICIENTES A ALTERAR'!E29),-1),ROUND((H82*'COEFICIENTES A ALTERAR'!E7*('SIMULADOR - DADOS'!F22*'SIMULADOR - DADOS'!F24*'SIMULADOR - DADOS'!F25*'SIMULADOR - DADOS'!F26*'SIMULADOR - DADOS'!F27*'SIMULADOR - DADOS'!I24)),-1))</f>
        <v>220</v>
      </c>
      <c r="N84" s="68">
        <f>ROUND(((K84/H84)-1),1)</f>
        <v>0</v>
      </c>
    </row>
    <row r="85" spans="2:15" s="2" customFormat="1" ht="15" hidden="1" x14ac:dyDescent="0.2">
      <c r="B85" s="2" t="s">
        <v>426</v>
      </c>
      <c r="H85" s="5">
        <f>ROUND('COEFICIENTES A ALTERAR'!E29,-1)</f>
        <v>220</v>
      </c>
      <c r="K85" s="5">
        <f>ROUND('COEFICIENTES A ALTERAR'!E29,-1)</f>
        <v>220</v>
      </c>
      <c r="N85" s="68">
        <f>ROUND(((K85/H85)-1),1)</f>
        <v>0</v>
      </c>
      <c r="O85" s="68"/>
    </row>
    <row r="86" spans="2:15" s="2" customFormat="1" ht="15" hidden="1" x14ac:dyDescent="0.2">
      <c r="B86" s="2" t="s">
        <v>405</v>
      </c>
      <c r="H86" s="5">
        <f>IF((ROUND((H82*'COEFICIENTES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ALTERAR'!E29),-1),ROUND((H82*'COEFICIENTES A ALTERAR'!E13*(1+('COEFICIENTES A ALTERAR'!E36*0.05))*('SIMULADOR - DADOS'!F22*'SIMULADOR - DADOS'!F24*'SIMULADOR - DADOS'!F25*'SIMULADOR - DADOS'!F26*'SIMULADOR - DADOS'!F27*'SIMULADOR - DADOS'!I24)),-1))</f>
        <v>220</v>
      </c>
      <c r="K86" s="5">
        <f>IF((ROUND((H82*'COEFICIENTES A ALTERAR'!E13*('SIMULADOR - DADOS'!F22*'SIMULADOR - DADOS'!F24*'SIMULADOR - DADOS'!F25*'SIMULADOR - DADOS'!F26*'SIMULADOR - DADOS'!F27*'SIMULADOR - DADOS'!I24)),-1))&lt;ROUND(('COEFICIENTES A ALTERAR'!E29),-1),ROUND(('COEFICIENTES A ALTERAR'!E29),-1),ROUND((H82*'COEFICIENTES A ALTERAR'!E13*('SIMULADOR - DADOS'!F22*'SIMULADOR - DADOS'!F24*'SIMULADOR - DADOS'!F25*'SIMULADOR - DADOS'!F26*'SIMULADOR - DADOS'!F27*'SIMULADOR - DADOS'!I24)),-1))</f>
        <v>220</v>
      </c>
      <c r="N86" s="68">
        <f>ROUND(((K86/H86)-1),1)</f>
        <v>0</v>
      </c>
      <c r="O86" s="68">
        <f>IF(N86&gt;N85,N86,N85)</f>
        <v>0</v>
      </c>
    </row>
    <row r="87" spans="2:15" s="2" customFormat="1" ht="15" hidden="1" x14ac:dyDescent="0.2">
      <c r="B87" s="2" t="s">
        <v>406</v>
      </c>
      <c r="H87" s="5">
        <f>IF((ROUND((H82*'COEFICIENTES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ALTERAR'!E29),-1),ROUND((H82*'COEFICIENTES A ALTERAR'!E15*(1+('COEFICIENTES A ALTERAR'!E36*0.05))*('SIMULADOR - DADOS'!F22*'SIMULADOR - DADOS'!F24*'SIMULADOR - DADOS'!F25*'SIMULADOR - DADOS'!F26*'SIMULADOR - DADOS'!F27*'SIMULADOR - DADOS'!I24)),-1))</f>
        <v>220</v>
      </c>
      <c r="K87" s="5">
        <f>IF((ROUND((H82*'COEFICIENTES A ALTERAR'!E15*('SIMULADOR - DADOS'!F22*'SIMULADOR - DADOS'!F24*'SIMULADOR - DADOS'!F25*'SIMULADOR - DADOS'!F26*'SIMULADOR - DADOS'!F27*'SIMULADOR - DADOS'!I24)),-1))&lt;ROUND(('COEFICIENTES A ALTERAR'!E29),-1),ROUND(('COEFICIENTES A ALTERAR'!E29),-1),ROUND((H82*'COEFICIENTES A ALTERAR'!E15*('SIMULADOR - DADOS'!F22*'SIMULADOR - DADOS'!F24*'SIMULADOR - DADOS'!F25*'SIMULADOR - DADOS'!F26*'SIMULADOR - DADOS'!F27*'SIMULADOR - DADOS'!I24)),-1))</f>
        <v>220</v>
      </c>
      <c r="N87" s="68">
        <f>ROUND(((K87/H87)-1),1)</f>
        <v>0</v>
      </c>
      <c r="O87" s="68">
        <f>IF(N87&gt;N86,N87,N86)</f>
        <v>0</v>
      </c>
    </row>
    <row r="88" spans="2:15" s="2" customFormat="1" ht="15" hidden="1" x14ac:dyDescent="0.2">
      <c r="B88" s="2" t="s">
        <v>407</v>
      </c>
      <c r="H88" s="5"/>
      <c r="K88" s="5"/>
      <c r="N88" s="68"/>
      <c r="O88" s="68"/>
    </row>
    <row r="89" spans="2:15" s="2" customFormat="1" ht="15" hidden="1" x14ac:dyDescent="0.2">
      <c r="B89" s="2" t="s">
        <v>408</v>
      </c>
      <c r="H89" s="5">
        <f>IF((ROUND((H82*'COEFICIENTES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ALTERAR'!E29),-1),ROUND((H82*'COEFICIENTES A ALTERAR'!E19*(1+('COEFICIENTES A ALTERAR'!E36*0.05))*('SIMULADOR - DADOS'!F22*'SIMULADOR - DADOS'!F24*'SIMULADOR - DADOS'!F25*'SIMULADOR - DADOS'!F26*'SIMULADOR - DADOS'!F27*'SIMULADOR - DADOS'!I24)),-1))</f>
        <v>220</v>
      </c>
      <c r="K89" s="5">
        <f>IF((ROUND((H82*'COEFICIENTES A ALTERAR'!E19*('SIMULADOR - DADOS'!F22*'SIMULADOR - DADOS'!F24*'SIMULADOR - DADOS'!F25*'SIMULADOR - DADOS'!F26*'SIMULADOR - DADOS'!F27*'SIMULADOR - DADOS'!I24)),-1))&lt;ROUND(('COEFICIENTES A ALTERAR'!E29),-1),ROUND(('COEFICIENTES A ALTERAR'!E29),-1),ROUND((H82*'COEFICIENTES A ALTERAR'!E19*('SIMULADOR - DADOS'!F22*'SIMULADOR - DADOS'!F24*'SIMULADOR - DADOS'!F25*'SIMULADOR - DADOS'!F26*'SIMULADOR - DADOS'!F27*'SIMULADOR - DADOS'!I24)),-1))</f>
        <v>220</v>
      </c>
      <c r="N89" s="68">
        <f>ROUND(((K89/H89)-1),1)</f>
        <v>0</v>
      </c>
      <c r="O89" s="68">
        <f>IF(N89&gt;N87,N89,N87)</f>
        <v>0</v>
      </c>
    </row>
    <row r="90" spans="2:15" s="2" customFormat="1" ht="15" hidden="1" x14ac:dyDescent="0.2">
      <c r="B90" s="2" t="s">
        <v>409</v>
      </c>
      <c r="H90" s="85"/>
      <c r="K90" s="5"/>
      <c r="N90" s="68"/>
      <c r="O90" s="68"/>
    </row>
    <row r="91" spans="2:15" s="2" customFormat="1" ht="15" hidden="1" x14ac:dyDescent="0.2">
      <c r="B91" s="2" t="s">
        <v>410</v>
      </c>
      <c r="H91" s="5"/>
      <c r="K91" s="5"/>
      <c r="N91" s="68"/>
      <c r="O91" s="68"/>
    </row>
    <row r="92" spans="2:15" s="2" customFormat="1" ht="15" hidden="1" x14ac:dyDescent="0.2">
      <c r="B92" s="2" t="s">
        <v>411</v>
      </c>
      <c r="H92" s="5"/>
      <c r="K92" s="5"/>
      <c r="N92" s="68"/>
      <c r="O92" s="68"/>
    </row>
    <row r="93" spans="2:15" s="2" customFormat="1" ht="15" hidden="1" x14ac:dyDescent="0.2">
      <c r="B93" s="2" t="s">
        <v>431</v>
      </c>
      <c r="H93" s="5"/>
      <c r="K93" s="5"/>
      <c r="N93" s="68"/>
      <c r="O93" s="68"/>
    </row>
    <row r="94" spans="2:15" s="2" customFormat="1" ht="15" hidden="1" x14ac:dyDescent="0.2">
      <c r="B94" s="2" t="s">
        <v>432</v>
      </c>
      <c r="H94" s="5"/>
      <c r="K94" s="5"/>
      <c r="N94" s="68"/>
      <c r="O94" s="68"/>
    </row>
    <row r="95" spans="2:15" s="2" customFormat="1" ht="15" hidden="1" x14ac:dyDescent="0.2">
      <c r="B95" s="2" t="s">
        <v>433</v>
      </c>
      <c r="H95" s="5"/>
      <c r="J95" s="126"/>
      <c r="K95" s="127"/>
      <c r="N95" s="68"/>
      <c r="O95" s="55"/>
    </row>
    <row r="96" spans="2:15" hidden="1" x14ac:dyDescent="0.2"/>
    <row r="97" spans="2:15" hidden="1" x14ac:dyDescent="0.2"/>
    <row r="98" spans="2:15" hidden="1" x14ac:dyDescent="0.2"/>
    <row r="99" spans="2:15" ht="15" hidden="1" x14ac:dyDescent="0.2">
      <c r="B99" s="2" t="s">
        <v>448</v>
      </c>
      <c r="H99" s="2">
        <f>'SIMULADOR - DADOS'!E15*1.5</f>
        <v>0</v>
      </c>
      <c r="I99" s="2" t="s">
        <v>446</v>
      </c>
      <c r="K99" s="32"/>
      <c r="L99" s="32"/>
    </row>
    <row r="100" spans="2:15" s="2" customFormat="1" ht="15" hidden="1" x14ac:dyDescent="0.2">
      <c r="B100" s="2" t="s">
        <v>378</v>
      </c>
      <c r="H100" s="85"/>
      <c r="K100" s="5"/>
      <c r="N100" s="68"/>
    </row>
    <row r="101" spans="2:15" s="2" customFormat="1" ht="15" hidden="1" x14ac:dyDescent="0.2">
      <c r="B101" s="2" t="s">
        <v>395</v>
      </c>
      <c r="H101" s="5">
        <f>IF((ROUND((H99*'COEFICIENTES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ALTERAR'!E29),-1),ROUND((H99*'COEFICIENTES A ALTERAR'!E7*(1+('COEFICIENTES A ALTERAR'!E36*0.05))*('SIMULADOR - DADOS'!F22*'SIMULADOR - DADOS'!F24*'SIMULADOR - DADOS'!F25*'SIMULADOR - DADOS'!F26*'SIMULADOR - DADOS'!F27*'SIMULADOR - DADOS'!I24)),-1))</f>
        <v>220</v>
      </c>
      <c r="K101" s="5">
        <f>IF((ROUND((H99*'COEFICIENTES A ALTERAR'!E7*('SIMULADOR - DADOS'!F22*'SIMULADOR - DADOS'!F24*'SIMULADOR - DADOS'!F25*'SIMULADOR - DADOS'!F26*'SIMULADOR - DADOS'!F27*'SIMULADOR - DADOS'!I24)),-1))&lt;ROUND(('COEFICIENTES A ALTERAR'!E29),-1),ROUND(('COEFICIENTES A ALTERAR'!E29),-1),ROUND((H99*'COEFICIENTES A ALTERAR'!E7*('SIMULADOR - DADOS'!F22*'SIMULADOR - DADOS'!F24*'SIMULADOR - DADOS'!F25*'SIMULADOR - DADOS'!F26*'SIMULADOR - DADOS'!F27*'SIMULADOR - DADOS'!I24)),-1))</f>
        <v>220</v>
      </c>
      <c r="N101" s="68">
        <f>ROUND(((K101/H101)-1),1)</f>
        <v>0</v>
      </c>
    </row>
    <row r="102" spans="2:15" s="2" customFormat="1" ht="15" hidden="1" x14ac:dyDescent="0.2">
      <c r="B102" s="2" t="s">
        <v>426</v>
      </c>
      <c r="H102" s="5"/>
      <c r="K102" s="5"/>
      <c r="N102" s="68"/>
      <c r="O102" s="68"/>
    </row>
    <row r="103" spans="2:15" s="2" customFormat="1" ht="15" hidden="1" x14ac:dyDescent="0.2">
      <c r="B103" s="2" t="s">
        <v>405</v>
      </c>
      <c r="H103" s="5"/>
      <c r="K103" s="5"/>
      <c r="N103" s="68"/>
      <c r="O103" s="68"/>
    </row>
    <row r="104" spans="2:15" s="2" customFormat="1" ht="15" hidden="1" x14ac:dyDescent="0.2">
      <c r="B104" s="2" t="s">
        <v>406</v>
      </c>
      <c r="H104" s="5"/>
      <c r="K104" s="5"/>
      <c r="N104" s="68"/>
      <c r="O104" s="68"/>
    </row>
    <row r="105" spans="2:15" s="2" customFormat="1" ht="15" hidden="1" x14ac:dyDescent="0.2">
      <c r="B105" s="2" t="s">
        <v>407</v>
      </c>
      <c r="H105" s="5"/>
      <c r="K105" s="5"/>
      <c r="N105" s="68"/>
      <c r="O105" s="68"/>
    </row>
    <row r="106" spans="2:15" s="2" customFormat="1" ht="15" hidden="1" x14ac:dyDescent="0.2">
      <c r="B106" s="2" t="s">
        <v>408</v>
      </c>
      <c r="H106" s="5"/>
      <c r="K106" s="5"/>
      <c r="N106" s="68"/>
      <c r="O106" s="68"/>
    </row>
    <row r="107" spans="2:15" s="2" customFormat="1" ht="15" hidden="1" x14ac:dyDescent="0.2">
      <c r="B107" s="2" t="s">
        <v>409</v>
      </c>
      <c r="H107" s="85"/>
      <c r="K107" s="5"/>
      <c r="N107" s="68"/>
      <c r="O107" s="68"/>
    </row>
    <row r="108" spans="2:15" s="2" customFormat="1" ht="15" hidden="1" x14ac:dyDescent="0.2">
      <c r="B108" s="2" t="s">
        <v>410</v>
      </c>
      <c r="H108" s="5"/>
      <c r="K108" s="5"/>
      <c r="N108" s="68"/>
      <c r="O108" s="68"/>
    </row>
    <row r="109" spans="2:15" s="2" customFormat="1" ht="15" hidden="1" x14ac:dyDescent="0.2">
      <c r="B109" s="2" t="s">
        <v>411</v>
      </c>
      <c r="H109" s="5"/>
      <c r="K109" s="5"/>
      <c r="N109" s="68"/>
      <c r="O109" s="68"/>
    </row>
    <row r="110" spans="2:15" s="2" customFormat="1" ht="15" hidden="1" x14ac:dyDescent="0.2">
      <c r="B110" s="2" t="s">
        <v>431</v>
      </c>
      <c r="H110" s="5"/>
      <c r="K110" s="5"/>
      <c r="N110" s="68"/>
      <c r="O110" s="68"/>
    </row>
    <row r="111" spans="2:15" s="2" customFormat="1" ht="15" hidden="1" x14ac:dyDescent="0.2">
      <c r="B111" s="2" t="s">
        <v>432</v>
      </c>
      <c r="H111" s="5"/>
      <c r="K111" s="5"/>
      <c r="N111" s="68"/>
      <c r="O111" s="68"/>
    </row>
    <row r="112" spans="2:15" s="2" customFormat="1" ht="15" hidden="1" x14ac:dyDescent="0.2">
      <c r="B112" s="2" t="s">
        <v>433</v>
      </c>
      <c r="H112" s="5"/>
      <c r="J112" s="126"/>
      <c r="K112" s="127"/>
      <c r="N112" s="68"/>
      <c r="O112" s="55"/>
    </row>
    <row r="113" spans="2:15" hidden="1" x14ac:dyDescent="0.2"/>
    <row r="114" spans="2:15" hidden="1" x14ac:dyDescent="0.2"/>
    <row r="115" spans="2:15" hidden="1" x14ac:dyDescent="0.2"/>
    <row r="116" spans="2:15" ht="15" hidden="1" x14ac:dyDescent="0.2">
      <c r="B116" s="2" t="s">
        <v>449</v>
      </c>
      <c r="H116" s="55">
        <f>'SIMULADOR - DADOS'!E15*(0.95^('SIMULADOR - DADOS'!E15/100))</f>
        <v>0</v>
      </c>
      <c r="I116" s="2" t="s">
        <v>446</v>
      </c>
      <c r="K116" s="32"/>
      <c r="L116" s="32"/>
    </row>
    <row r="117" spans="2:15" ht="15" hidden="1" x14ac:dyDescent="0.2">
      <c r="B117" s="2" t="s">
        <v>451</v>
      </c>
      <c r="H117" s="55">
        <f>(H116*2)+(('SIMULADOR - DADOS'!E18-'SIMULADOR - CUSTO PROJETOS'!H116)*0.2)</f>
        <v>0</v>
      </c>
      <c r="I117" s="2" t="s">
        <v>446</v>
      </c>
      <c r="K117" s="32"/>
      <c r="L117" s="32"/>
    </row>
    <row r="118" spans="2:15" s="2" customFormat="1" ht="15" hidden="1" x14ac:dyDescent="0.2">
      <c r="B118" s="2" t="s">
        <v>378</v>
      </c>
      <c r="H118" s="5">
        <f>IF((ROUND((H117*'COEFICIENTES A ALTERAR'!E7*0.1*('SIMULADOR - DADOS'!F22*'SIMULADOR - DADOS'!F24*'SIMULADOR - DADOS'!F25*'SIMULADOR - DADOS'!F26*'SIMULADOR - DADOS'!F27*'SIMULADOR - DADOS'!I24)),-1))&lt;ROUND(('COEFICIENTES A ALTERAR'!E29),-1),ROUND(('COEFICIENTES A ALTERAR'!E29),-1),ROUND((H117*'COEFICIENTES A ALTERAR'!E7*0.1*('SIMULADOR - DADOS'!F22*'SIMULADOR - DADOS'!F24*'SIMULADOR - DADOS'!F25*'SIMULADOR - DADOS'!F26*'SIMULADOR - DADOS'!F27*'SIMULADOR - DADOS'!I24)),-1))</f>
        <v>220</v>
      </c>
      <c r="K118" s="5"/>
      <c r="N118" s="68"/>
    </row>
    <row r="119" spans="2:15" s="2" customFormat="1" ht="15" hidden="1" x14ac:dyDescent="0.2">
      <c r="B119" s="2" t="s">
        <v>395</v>
      </c>
      <c r="H119" s="5">
        <f>IF((ROUND((H116*'COEFICIENTES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ALTERAR'!E7*(1+('COEFICIENTES A ALTERAR'!E36*0.05))*('SIMULADOR - DADOS'!F22*'SIMULADOR - DADOS'!F24*'SIMULADOR - DADOS'!F25*'SIMULADOR - DADOS'!F26*'SIMULADOR - DADOS'!F27*'SIMULADOR - DADOS'!I24)),-1))</f>
        <v>220</v>
      </c>
      <c r="K119" s="5">
        <f>IF((ROUND((H116*'COEFICIENTES A ALTERAR'!E7*('SIMULADOR - DADOS'!F22*'SIMULADOR - DADOS'!F24*'SIMULADOR - DADOS'!F25*'SIMULADOR - DADOS'!F26*'SIMULADOR - DADOS'!F27*'SIMULADOR - DADOS'!I24)),-1))&lt;ROUND(('COEFICIENTES A ALTERAR'!E29),-1),ROUND(('COEFICIENTES A ALTERAR'!E29),-1),ROUND((H116*'COEFICIENTES A ALTERAR'!E7*('SIMULADOR - DADOS'!F22*'SIMULADOR - DADOS'!F24*'SIMULADOR - DADOS'!F25*'SIMULADOR - DADOS'!F26*'SIMULADOR - DADOS'!F27*'SIMULADOR - DADOS'!I24)),-1))</f>
        <v>220</v>
      </c>
      <c r="N119" s="68">
        <f t="shared" ref="N119:N124" si="2">ROUND(((K119/H119)-1),1)</f>
        <v>0</v>
      </c>
    </row>
    <row r="120" spans="2:15" s="2" customFormat="1" ht="15" hidden="1" x14ac:dyDescent="0.2">
      <c r="B120" s="2" t="s">
        <v>426</v>
      </c>
      <c r="H120" s="5">
        <f>IF((ROUND((H116*'COEFICIENTES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ALTERAR'!E11*(1+('COEFICIENTES A ALTERAR'!E36*0.05))*('SIMULADOR - DADOS'!F22*'SIMULADOR - DADOS'!F24*'SIMULADOR - DADOS'!F25*'SIMULADOR - DADOS'!F26*'SIMULADOR - DADOS'!F27*'SIMULADOR - DADOS'!I24)),-1))</f>
        <v>220</v>
      </c>
      <c r="K120" s="5">
        <f>IF((ROUND((H116*'COEFICIENTES A ALTERAR'!E11*('SIMULADOR - DADOS'!F22*'SIMULADOR - DADOS'!F24*'SIMULADOR - DADOS'!F25*'SIMULADOR - DADOS'!F26*'SIMULADOR - DADOS'!F27*'SIMULADOR - DADOS'!I24)),-1))&lt;ROUND(('COEFICIENTES A ALTERAR'!E29),-1),ROUND(('COEFICIENTES A ALTERAR'!E29),-1),ROUND((H116*'COEFICIENTES A ALTERAR'!E11*('SIMULADOR - DADOS'!F22*'SIMULADOR - DADOS'!F24*'SIMULADOR - DADOS'!F25*'SIMULADOR - DADOS'!F26*'SIMULADOR - DADOS'!F27*'SIMULADOR - DADOS'!I24)),-1))</f>
        <v>220</v>
      </c>
      <c r="N120" s="68">
        <f t="shared" si="2"/>
        <v>0</v>
      </c>
      <c r="O120" s="68"/>
    </row>
    <row r="121" spans="2:15" s="2" customFormat="1" ht="15" hidden="1" x14ac:dyDescent="0.2">
      <c r="B121" s="2" t="s">
        <v>405</v>
      </c>
      <c r="H121" s="5">
        <f>IF((ROUND((H116*'COEFICIENTES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ALTERAR'!E13*(1+('COEFICIENTES A ALTERAR'!E36*0.05))*('SIMULADOR - DADOS'!F22*'SIMULADOR - DADOS'!F24*'SIMULADOR - DADOS'!F25*'SIMULADOR - DADOS'!F26*'SIMULADOR - DADOS'!F27*'SIMULADOR - DADOS'!I24)),-1))</f>
        <v>220</v>
      </c>
      <c r="K121" s="5">
        <f>IF((ROUND((H116*'COEFICIENTES A ALTERAR'!E13*('SIMULADOR - DADOS'!F22*'SIMULADOR - DADOS'!F24*'SIMULADOR - DADOS'!F25*'SIMULADOR - DADOS'!F26*'SIMULADOR - DADOS'!F27*'SIMULADOR - DADOS'!I24)),-1))&lt;ROUND(('COEFICIENTES A ALTERAR'!E29),-1),ROUND(('COEFICIENTES A ALTERAR'!E29),-1),ROUND((H116*'COEFICIENTES A ALTERAR'!E13*('SIMULADOR - DADOS'!F22*'SIMULADOR - DADOS'!F24*'SIMULADOR - DADOS'!F25*'SIMULADOR - DADOS'!F26*'SIMULADOR - DADOS'!F27*'SIMULADOR - DADOS'!I24)),-1))</f>
        <v>220</v>
      </c>
      <c r="N121" s="68">
        <f t="shared" si="2"/>
        <v>0</v>
      </c>
      <c r="O121" s="68">
        <f>IF(N121&gt;N120,N121,N120)</f>
        <v>0</v>
      </c>
    </row>
    <row r="122" spans="2:15" s="2" customFormat="1" ht="15" hidden="1" x14ac:dyDescent="0.2">
      <c r="B122" s="2" t="s">
        <v>406</v>
      </c>
      <c r="H122" s="5">
        <f>IF((ROUND((H116*'COEFICIENTES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ALTERAR'!E15*(1+('COEFICIENTES A ALTERAR'!E36*0.05))*('SIMULADOR - DADOS'!F22*'SIMULADOR - DADOS'!F24*'SIMULADOR - DADOS'!F25*'SIMULADOR - DADOS'!F26*'SIMULADOR - DADOS'!F27*'SIMULADOR - DADOS'!I24)),-1))</f>
        <v>220</v>
      </c>
      <c r="K122" s="5">
        <f>IF((ROUND((H116*'COEFICIENTES A ALTERAR'!E15*('SIMULADOR - DADOS'!F22*'SIMULADOR - DADOS'!F24*'SIMULADOR - DADOS'!F25*'SIMULADOR - DADOS'!F26*'SIMULADOR - DADOS'!F27*'SIMULADOR - DADOS'!I24)),-1))&lt;ROUND(('COEFICIENTES A ALTERAR'!E29),-1),ROUND(('COEFICIENTES A ALTERAR'!E29),-1),ROUND((H116*'COEFICIENTES A ALTERAR'!E15*('SIMULADOR - DADOS'!F22*'SIMULADOR - DADOS'!F24*'SIMULADOR - DADOS'!F25*'SIMULADOR - DADOS'!F26*'SIMULADOR - DADOS'!F27*'SIMULADOR - DADOS'!I24)),-1))</f>
        <v>220</v>
      </c>
      <c r="N122" s="68">
        <f t="shared" si="2"/>
        <v>0</v>
      </c>
      <c r="O122" s="68">
        <f>IF(N122&gt;N121,N122,N121)</f>
        <v>0</v>
      </c>
    </row>
    <row r="123" spans="2:15" s="2" customFormat="1" ht="15" hidden="1" x14ac:dyDescent="0.2">
      <c r="B123" s="2" t="s">
        <v>407</v>
      </c>
      <c r="H123" s="5">
        <f>IF((ROUND((H116*'COEFICIENTES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ALTERAR'!E17*(1+('COEFICIENTES A ALTERAR'!E36*0.05))*('SIMULADOR - DADOS'!F22*'SIMULADOR - DADOS'!F24*'SIMULADOR - DADOS'!F25*'SIMULADOR - DADOS'!F26*'SIMULADOR - DADOS'!F27*'SIMULADOR - DADOS'!I24)),-1))</f>
        <v>220</v>
      </c>
      <c r="K123" s="5">
        <f>IF((ROUND((H116*'COEFICIENTES A ALTERAR'!E17*('SIMULADOR - DADOS'!F22*'SIMULADOR - DADOS'!F24*'SIMULADOR - DADOS'!F25*'SIMULADOR - DADOS'!F26*'SIMULADOR - DADOS'!F27*'SIMULADOR - DADOS'!I24)),-1))&lt;ROUND(('COEFICIENTES A ALTERAR'!E29),-1),ROUND(('COEFICIENTES A ALTERAR'!E29),-1),ROUND((H116*'COEFICIENTES A ALTERAR'!E17*('SIMULADOR - DADOS'!F22*'SIMULADOR - DADOS'!F24*'SIMULADOR - DADOS'!F25*'SIMULADOR - DADOS'!F26*'SIMULADOR - DADOS'!F27*'SIMULADOR - DADOS'!I24)),-1))</f>
        <v>220</v>
      </c>
      <c r="N123" s="68">
        <f t="shared" si="2"/>
        <v>0</v>
      </c>
      <c r="O123" s="68">
        <f>IF(N123&gt;N122,N123,N122)</f>
        <v>0</v>
      </c>
    </row>
    <row r="124" spans="2:15" s="2" customFormat="1" ht="15" hidden="1" x14ac:dyDescent="0.2">
      <c r="B124" s="2" t="s">
        <v>408</v>
      </c>
      <c r="H124" s="5">
        <f>IF((ROUND((H116*'COEFICIENTES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ALTERAR'!E29),-1),ROUND((H116*'COEFICIENTES A ALTERAR'!E19*(1+('COEFICIENTES A ALTERAR'!E36*0.05))*('SIMULADOR - DADOS'!F22*'SIMULADOR - DADOS'!F24*'SIMULADOR - DADOS'!F25*'SIMULADOR - DADOS'!F26*'SIMULADOR - DADOS'!F27*'SIMULADOR - DADOS'!I24)),-1))</f>
        <v>220</v>
      </c>
      <c r="K124" s="5">
        <f>IF((ROUND((H116*'COEFICIENTES A ALTERAR'!E19*('SIMULADOR - DADOS'!F22*'SIMULADOR - DADOS'!F24*'SIMULADOR - DADOS'!F25*'SIMULADOR - DADOS'!F26*'SIMULADOR - DADOS'!F27*'SIMULADOR - DADOS'!I24)),-1))&lt;ROUND(('COEFICIENTES A ALTERAR'!E29),-1),ROUND(('COEFICIENTES A ALTERAR'!E29),-1),ROUND((H116*'COEFICIENTES A ALTERAR'!E19*('SIMULADOR - DADOS'!F22*'SIMULADOR - DADOS'!F24*'SIMULADOR - DADOS'!F25*'SIMULADOR - DADOS'!F26*'SIMULADOR - DADOS'!F27*'SIMULADOR - DADOS'!I24)),-1))</f>
        <v>220</v>
      </c>
      <c r="N124" s="68">
        <f t="shared" si="2"/>
        <v>0</v>
      </c>
      <c r="O124" s="68">
        <f>IF(N124&gt;N123,N124,N123)</f>
        <v>0</v>
      </c>
    </row>
    <row r="125" spans="2:15" s="2" customFormat="1" ht="15" hidden="1" x14ac:dyDescent="0.2">
      <c r="B125" s="2" t="s">
        <v>409</v>
      </c>
      <c r="H125" s="85"/>
      <c r="K125" s="5"/>
      <c r="N125" s="68"/>
      <c r="O125" s="68"/>
    </row>
    <row r="126" spans="2:15" s="2" customFormat="1" ht="15" hidden="1" x14ac:dyDescent="0.2">
      <c r="B126" s="2" t="s">
        <v>410</v>
      </c>
      <c r="H126" s="5">
        <f>ROUND('COEFICIENTES A ALTERAR'!E29,-1)</f>
        <v>220</v>
      </c>
      <c r="K126" s="5">
        <f>ROUND('COEFICIENTES A ALTERAR'!E29,-1)</f>
        <v>220</v>
      </c>
      <c r="N126" s="68">
        <f>ROUND(((K126/H126)-1),1)</f>
        <v>0</v>
      </c>
      <c r="O126" s="68">
        <f>IF(N126&gt;N124,N126,N124)</f>
        <v>0</v>
      </c>
    </row>
    <row r="127" spans="2:15" s="2" customFormat="1" ht="15" hidden="1" x14ac:dyDescent="0.2">
      <c r="B127" s="2" t="s">
        <v>411</v>
      </c>
      <c r="H127" s="5">
        <f>ROUND(('COEFICIENTES A ALTERAR'!E27*('SIMULADOR - DADOS'!F22*'SIMULADOR - DADOS'!F24*'SIMULADOR - DADOS'!F25*'SIMULADOR - DADOS'!F26*'SIMULADOR - DADOS'!F27*'SIMULADOR - DADOS'!I24)),-1)</f>
        <v>0</v>
      </c>
      <c r="K127" s="5"/>
      <c r="N127" s="68"/>
      <c r="O127" s="68"/>
    </row>
    <row r="128" spans="2:15" s="2" customFormat="1" ht="15" hidden="1" x14ac:dyDescent="0.2">
      <c r="B128" s="2" t="s">
        <v>431</v>
      </c>
      <c r="H128" s="5">
        <f>ROUND(('COEFICIENTES A ALTERAR'!E31*(1.5^(O130-1))*(1+('COEFICIENTES A ALTERAR'!E36*0.05))*('SIMULADOR - DADOS'!F22*'SIMULADOR - DADOS'!F24*'SIMULADOR - DADOS'!F25*'SIMULADOR - DADOS'!F26*'SIMULADOR - DADOS'!F27*'SIMULADOR - DADOS'!I24)),-1)</f>
        <v>0</v>
      </c>
      <c r="K128" s="5"/>
      <c r="N128" s="68"/>
      <c r="O128" s="68"/>
    </row>
    <row r="129" spans="2:15" s="2" customFormat="1" ht="15" hidden="1" x14ac:dyDescent="0.2">
      <c r="B129" s="2" t="s">
        <v>432</v>
      </c>
      <c r="H129" s="5">
        <f>IF(H128/2&lt;'COEFICIENTES A ALTERAR'!E31,ROUND(('COEFICIENTES A ALTERAR'!E31),-1),H128/2)</f>
        <v>100</v>
      </c>
      <c r="K129" s="5"/>
      <c r="N129" s="68"/>
      <c r="O129" s="68"/>
    </row>
    <row r="130" spans="2:15" s="2" customFormat="1" ht="15" hidden="1" x14ac:dyDescent="0.2">
      <c r="B130" s="2" t="s">
        <v>433</v>
      </c>
      <c r="H130" s="5">
        <f>ROUND(('COEFICIENTES A ALTERAR'!E33*(1.5^(O130-1))*(1+('COEFICIENTES A ALTERAR'!E36*0.05))*('SIMULADOR - DADOS'!F22*'SIMULADOR - DADOS'!F24*'SIMULADOR - DADOS'!F25*'SIMULADOR - DADOS'!F26*'SIMULADOR - DADOS'!F27*'SIMULADOR - DADOS'!I24)),-1)</f>
        <v>0</v>
      </c>
      <c r="J130" s="126">
        <f>H116*'COEFICIENTES A ALTERAR'!E39</f>
        <v>0</v>
      </c>
      <c r="K130" s="127"/>
      <c r="N130" s="68" t="s">
        <v>444</v>
      </c>
      <c r="O130" s="55">
        <f>IF(J130&lt;'COEFICIENTES A ALTERAR'!E40,1,IF('SIMULADOR - CUSTO PROJETOS'!J130&lt;'COEFICIENTES A ALTERAR'!E41,2,IF('SIMULADOR - CUSTO PROJETOS'!J130&lt;'COEFICIENTES A ALTERAR'!E42,3,IF('SIMULADOR - CUSTO PROJETOS'!J130&lt;'COEFICIENTES A ALTERAR'!E43,4,IF('SIMULADOR - CUSTO PROJETOS'!J130&lt;'COEFICIENTES A ALTERAR'!E44,5,IF('SIMULADOR - CUSTO PROJETOS'!J130&lt;'COEFICIENTES A ALTERAR'!E45,6,IF('SIMULADOR - CUSTO PROJETOS'!J130&lt;'COEFICIENTES A ALTERAR'!E46,7,IF('SIMULADOR - CUSTO PROJETOS'!J130&lt;'COEFICIENTES A ALTERAR'!E47,8,9))))))))</f>
        <v>1</v>
      </c>
    </row>
    <row r="131" spans="2:15" hidden="1" x14ac:dyDescent="0.2"/>
    <row r="132" spans="2:15" hidden="1" x14ac:dyDescent="0.2"/>
    <row r="133" spans="2:15" hidden="1" x14ac:dyDescent="0.2"/>
    <row r="134" spans="2:15" ht="15" hidden="1" x14ac:dyDescent="0.2">
      <c r="B134" s="2" t="s">
        <v>452</v>
      </c>
      <c r="H134" s="55">
        <f>'SIMULADOR - DADOS'!E15*(0.95^('SIMULADOR - DADOS'!E15/100))</f>
        <v>0</v>
      </c>
      <c r="I134" s="2" t="s">
        <v>446</v>
      </c>
      <c r="K134" s="32"/>
      <c r="L134" s="32"/>
    </row>
    <row r="135" spans="2:15" s="2" customFormat="1" ht="15" hidden="1" x14ac:dyDescent="0.2">
      <c r="B135" s="2" t="s">
        <v>378</v>
      </c>
      <c r="H135" s="5"/>
      <c r="K135" s="5"/>
      <c r="N135" s="68"/>
    </row>
    <row r="136" spans="2:15" s="2" customFormat="1" ht="15" hidden="1" x14ac:dyDescent="0.2">
      <c r="B136" s="2" t="s">
        <v>395</v>
      </c>
      <c r="H136" s="5">
        <f>IF((ROUND((H134*'COEFICIENTES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ALTERAR'!E7*(1+('COEFICIENTES A ALTERAR'!E36*0.05))*('SIMULADOR - DADOS'!F22*'SIMULADOR - DADOS'!F24*'SIMULADOR - DADOS'!F25*'SIMULADOR - DADOS'!F26*'SIMULADOR - DADOS'!F27*'SIMULADOR - DADOS'!I24)),-1))</f>
        <v>220</v>
      </c>
      <c r="K136" s="5">
        <f>IF((ROUND((H134*'COEFICIENTES A ALTERAR'!E7*('SIMULADOR - DADOS'!F22*'SIMULADOR - DADOS'!F24*'SIMULADOR - DADOS'!F25*'SIMULADOR - DADOS'!F26*'SIMULADOR - DADOS'!F27*'SIMULADOR - DADOS'!I24)),-1))&lt;ROUND(('COEFICIENTES A ALTERAR'!E29),-1),ROUND(('COEFICIENTES A ALTERAR'!E29),-1),ROUND((H134*'COEFICIENTES A ALTERAR'!E7*('SIMULADOR - DADOS'!F22*'SIMULADOR - DADOS'!F24*'SIMULADOR - DADOS'!F25*'SIMULADOR - DADOS'!F26*'SIMULADOR - DADOS'!F27*'SIMULADOR - DADOS'!I24)),-1))</f>
        <v>220</v>
      </c>
      <c r="N136" s="68">
        <f t="shared" ref="N136:N141" si="3">ROUND(((K136/H136)-1),1)</f>
        <v>0</v>
      </c>
    </row>
    <row r="137" spans="2:15" s="2" customFormat="1" ht="15" hidden="1" x14ac:dyDescent="0.2">
      <c r="B137" s="2" t="s">
        <v>426</v>
      </c>
      <c r="H137" s="5">
        <f>IF((ROUND((H134*'COEFICIENTES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ALTERAR'!E11*(1+('COEFICIENTES A ALTERAR'!E36*0.05))*('SIMULADOR - DADOS'!F22*'SIMULADOR - DADOS'!F24*'SIMULADOR - DADOS'!F25*'SIMULADOR - DADOS'!F26*'SIMULADOR - DADOS'!F27*'SIMULADOR - DADOS'!I24)),-1))</f>
        <v>220</v>
      </c>
      <c r="K137" s="5">
        <f>IF((ROUND((H134*'COEFICIENTES A ALTERAR'!E11*('SIMULADOR - DADOS'!F22*'SIMULADOR - DADOS'!F24*'SIMULADOR - DADOS'!F25*'SIMULADOR - DADOS'!F26*'SIMULADOR - DADOS'!F27*'SIMULADOR - DADOS'!I24)),-1))&lt;ROUND(('COEFICIENTES A ALTERAR'!E29),-1),ROUND(('COEFICIENTES A ALTERAR'!E29),-1),ROUND((H134*'COEFICIENTES A ALTERAR'!E11*('SIMULADOR - DADOS'!F22*'SIMULADOR - DADOS'!F24*'SIMULADOR - DADOS'!F25*'SIMULADOR - DADOS'!F26*'SIMULADOR - DADOS'!F27*'SIMULADOR - DADOS'!I24)),-1))</f>
        <v>220</v>
      </c>
      <c r="N137" s="68">
        <f t="shared" si="3"/>
        <v>0</v>
      </c>
      <c r="O137" s="68"/>
    </row>
    <row r="138" spans="2:15" s="2" customFormat="1" ht="15" hidden="1" x14ac:dyDescent="0.2">
      <c r="B138" s="2" t="s">
        <v>405</v>
      </c>
      <c r="H138" s="5">
        <f>IF((ROUND((H134*'COEFICIENTES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ALTERAR'!E13*(1+('COEFICIENTES A ALTERAR'!E36*0.05))*('SIMULADOR - DADOS'!F22*'SIMULADOR - DADOS'!F24*'SIMULADOR - DADOS'!F25*'SIMULADOR - DADOS'!F26*'SIMULADOR - DADOS'!F27*'SIMULADOR - DADOS'!I24)),-1))</f>
        <v>220</v>
      </c>
      <c r="K138" s="5">
        <f>IF((ROUND((H134*'COEFICIENTES A ALTERAR'!E13*('SIMULADOR - DADOS'!F22*'SIMULADOR - DADOS'!F24*'SIMULADOR - DADOS'!F25*'SIMULADOR - DADOS'!F26*'SIMULADOR - DADOS'!F27*'SIMULADOR - DADOS'!I24)),-1))&lt;ROUND(('COEFICIENTES A ALTERAR'!E29),-1),ROUND(('COEFICIENTES A ALTERAR'!E29),-1),ROUND((H134*'COEFICIENTES A ALTERAR'!E13*('SIMULADOR - DADOS'!F22*'SIMULADOR - DADOS'!F24*'SIMULADOR - DADOS'!F25*'SIMULADOR - DADOS'!F26*'SIMULADOR - DADOS'!F27*'SIMULADOR - DADOS'!I24)),-1))</f>
        <v>220</v>
      </c>
      <c r="N138" s="68">
        <f t="shared" si="3"/>
        <v>0</v>
      </c>
      <c r="O138" s="68">
        <f>IF(N138&gt;N137,N138,N137)</f>
        <v>0</v>
      </c>
    </row>
    <row r="139" spans="2:15" s="2" customFormat="1" ht="15" hidden="1" x14ac:dyDescent="0.2">
      <c r="B139" s="2" t="s">
        <v>406</v>
      </c>
      <c r="H139" s="5">
        <f>IF((ROUND((H134*'COEFICIENTES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ALTERAR'!E15*(1+('COEFICIENTES A ALTERAR'!E36*0.05))*('SIMULADOR - DADOS'!F22*'SIMULADOR - DADOS'!F24*'SIMULADOR - DADOS'!F25*'SIMULADOR - DADOS'!F26*'SIMULADOR - DADOS'!F27*'SIMULADOR - DADOS'!I24)),-1))</f>
        <v>220</v>
      </c>
      <c r="K139" s="5">
        <f>IF((ROUND((H134*'COEFICIENTES A ALTERAR'!E15*('SIMULADOR - DADOS'!F22*'SIMULADOR - DADOS'!F24*'SIMULADOR - DADOS'!F25*'SIMULADOR - DADOS'!F26*'SIMULADOR - DADOS'!F27*'SIMULADOR - DADOS'!I24)),-1))&lt;ROUND(('COEFICIENTES A ALTERAR'!E29),-1),ROUND(('COEFICIENTES A ALTERAR'!E29),-1),ROUND((H134*'COEFICIENTES A ALTERAR'!E15*('SIMULADOR - DADOS'!F22*'SIMULADOR - DADOS'!F24*'SIMULADOR - DADOS'!F25*'SIMULADOR - DADOS'!F26*'SIMULADOR - DADOS'!F27*'SIMULADOR - DADOS'!I24)),-1))</f>
        <v>220</v>
      </c>
      <c r="N139" s="68">
        <f t="shared" si="3"/>
        <v>0</v>
      </c>
      <c r="O139" s="68">
        <f>IF(N139&gt;N138,N139,N138)</f>
        <v>0</v>
      </c>
    </row>
    <row r="140" spans="2:15" s="2" customFormat="1" ht="15" hidden="1" x14ac:dyDescent="0.2">
      <c r="B140" s="2" t="s">
        <v>407</v>
      </c>
      <c r="H140" s="5">
        <f>IF((ROUND((H134*'COEFICIENTES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ALTERAR'!E17*(1+('COEFICIENTES A ALTERAR'!E36*0.05))*('SIMULADOR - DADOS'!F22*'SIMULADOR - DADOS'!F24*'SIMULADOR - DADOS'!F25*'SIMULADOR - DADOS'!F26*'SIMULADOR - DADOS'!F27*'SIMULADOR - DADOS'!I24)),-1))</f>
        <v>220</v>
      </c>
      <c r="K140" s="5">
        <f>IF((ROUND((H134*'COEFICIENTES A ALTERAR'!E17*('SIMULADOR - DADOS'!F22*'SIMULADOR - DADOS'!F24*'SIMULADOR - DADOS'!F25*'SIMULADOR - DADOS'!F26*'SIMULADOR - DADOS'!F27*'SIMULADOR - DADOS'!I24)),-1))&lt;ROUND(('COEFICIENTES A ALTERAR'!E29),-1),ROUND(('COEFICIENTES A ALTERAR'!E29),-1),ROUND((H134*'COEFICIENTES A ALTERAR'!E17*('SIMULADOR - DADOS'!F22*'SIMULADOR - DADOS'!F24*'SIMULADOR - DADOS'!F25*'SIMULADOR - DADOS'!F26*'SIMULADOR - DADOS'!F27*'SIMULADOR - DADOS'!I24)),-1))</f>
        <v>220</v>
      </c>
      <c r="N140" s="68">
        <f t="shared" si="3"/>
        <v>0</v>
      </c>
      <c r="O140" s="68">
        <f>IF(N140&gt;N139,N140,N139)</f>
        <v>0</v>
      </c>
    </row>
    <row r="141" spans="2:15" s="2" customFormat="1" ht="15" hidden="1" x14ac:dyDescent="0.2">
      <c r="B141" s="2" t="s">
        <v>408</v>
      </c>
      <c r="H141" s="5">
        <f>IF((ROUND((H134*'COEFICIENTES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ALTERAR'!E29),-1),ROUND((H134*'COEFICIENTES A ALTERAR'!E19*(1+('COEFICIENTES A ALTERAR'!E36*0.05))*('SIMULADOR - DADOS'!F22*'SIMULADOR - DADOS'!F24*'SIMULADOR - DADOS'!F25*'SIMULADOR - DADOS'!F26*'SIMULADOR - DADOS'!F27*'SIMULADOR - DADOS'!I24)),-1))</f>
        <v>220</v>
      </c>
      <c r="K141" s="5">
        <f>IF((ROUND((H134*'COEFICIENTES A ALTERAR'!E19*('SIMULADOR - DADOS'!F22*'SIMULADOR - DADOS'!F24*'SIMULADOR - DADOS'!F25*'SIMULADOR - DADOS'!F26*'SIMULADOR - DADOS'!F27*'SIMULADOR - DADOS'!I24)),-1))&lt;ROUND(('COEFICIENTES A ALTERAR'!E29),-1),ROUND(('COEFICIENTES A ALTERAR'!E29),-1),ROUND((H134*'COEFICIENTES A ALTERAR'!E19*('SIMULADOR - DADOS'!F22*'SIMULADOR - DADOS'!F24*'SIMULADOR - DADOS'!F25*'SIMULADOR - DADOS'!F26*'SIMULADOR - DADOS'!F27*'SIMULADOR - DADOS'!I24)),-1))</f>
        <v>220</v>
      </c>
      <c r="N141" s="68">
        <f t="shared" si="3"/>
        <v>0</v>
      </c>
      <c r="O141" s="68">
        <f>IF(N141&gt;N140,N141,N140)</f>
        <v>0</v>
      </c>
    </row>
    <row r="142" spans="2:15" s="2" customFormat="1" ht="15" hidden="1" x14ac:dyDescent="0.2">
      <c r="B142" s="2" t="s">
        <v>409</v>
      </c>
      <c r="H142" s="85"/>
      <c r="K142" s="5"/>
      <c r="N142" s="68"/>
      <c r="O142" s="68"/>
    </row>
    <row r="143" spans="2:15" s="2" customFormat="1" ht="15" hidden="1" x14ac:dyDescent="0.2">
      <c r="B143" s="2" t="s">
        <v>410</v>
      </c>
      <c r="H143" s="5"/>
      <c r="K143" s="5"/>
      <c r="N143" s="68"/>
      <c r="O143" s="68"/>
    </row>
    <row r="144" spans="2:15" s="2" customFormat="1" ht="15" hidden="1" x14ac:dyDescent="0.2">
      <c r="B144" s="2" t="s">
        <v>411</v>
      </c>
      <c r="H144" s="5">
        <f>ROUND(('COEFICIENTES A ALTERAR'!E27*('SIMULADOR - DADOS'!F22*'SIMULADOR - DADOS'!F24*'SIMULADOR - DADOS'!F25*'SIMULADOR - DADOS'!F26*'SIMULADOR - DADOS'!F27*'SIMULADOR - DADOS'!I24)),-1)</f>
        <v>0</v>
      </c>
      <c r="K144" s="5"/>
      <c r="N144" s="68"/>
      <c r="O144" s="68"/>
    </row>
    <row r="145" spans="2:15" s="2" customFormat="1" ht="15" hidden="1" x14ac:dyDescent="0.2">
      <c r="B145" s="2" t="s">
        <v>431</v>
      </c>
      <c r="H145" s="5">
        <f>ROUND(('COEFICIENTES A ALTERAR'!E31*(1.5^(O147-1))*(1+('COEFICIENTES A ALTERAR'!E36*0.05))*('SIMULADOR - DADOS'!F22*'SIMULADOR - DADOS'!F24*'SIMULADOR - DADOS'!F25*'SIMULADOR - DADOS'!F26*'SIMULADOR - DADOS'!F27*'SIMULADOR - DADOS'!I24)),-1)</f>
        <v>0</v>
      </c>
      <c r="K145" s="5"/>
      <c r="N145" s="68"/>
      <c r="O145" s="68"/>
    </row>
    <row r="146" spans="2:15" s="2" customFormat="1" ht="15" hidden="1" x14ac:dyDescent="0.2">
      <c r="B146" s="2" t="s">
        <v>432</v>
      </c>
      <c r="H146" s="5">
        <f>IF(H145/2&lt;'COEFICIENTES A ALTERAR'!E31,ROUND(('COEFICIENTES A ALTERAR'!E31),-1),H145/2)</f>
        <v>100</v>
      </c>
      <c r="K146" s="5"/>
      <c r="N146" s="68"/>
      <c r="O146" s="68"/>
    </row>
    <row r="147" spans="2:15" s="2" customFormat="1" ht="15" hidden="1" x14ac:dyDescent="0.2">
      <c r="B147" s="2" t="s">
        <v>433</v>
      </c>
      <c r="H147" s="5">
        <f>ROUND(('COEFICIENTES A ALTERAR'!E33*(1.5^(O147-1))*(1+('COEFICIENTES A ALTERAR'!E36*0.05))*('SIMULADOR - DADOS'!F22*'SIMULADOR - DADOS'!F24*'SIMULADOR - DADOS'!F25*'SIMULADOR - DADOS'!F26*'SIMULADOR - DADOS'!F27*'SIMULADOR - DADOS'!I24)),-1)</f>
        <v>0</v>
      </c>
      <c r="J147" s="126">
        <f>H134*'COEFICIENTES A ALTERAR'!E39</f>
        <v>0</v>
      </c>
      <c r="K147" s="127"/>
      <c r="N147" s="68" t="s">
        <v>444</v>
      </c>
      <c r="O147" s="55">
        <f>IF(J147&lt;'COEFICIENTES A ALTERAR'!E40,1,IF('SIMULADOR - CUSTO PROJETOS'!J147&lt;'COEFICIENTES A ALTERAR'!E41,2,IF('SIMULADOR - CUSTO PROJETOS'!J147&lt;'COEFICIENTES A ALTERAR'!E42,3,IF('SIMULADOR - CUSTO PROJETOS'!J147&lt;'COEFICIENTES A ALTERAR'!E43,4,IF('SIMULADOR - CUSTO PROJETOS'!J147&lt;'COEFICIENTES A ALTERAR'!E44,5,IF('SIMULADOR - CUSTO PROJETOS'!J147&lt;'COEFICIENTES A ALTERAR'!E45,6,IF('SIMULADOR - CUSTO PROJETOS'!J147&lt;'COEFICIENTES A ALTERAR'!E46,7,IF('SIMULADOR - CUSTO PROJETOS'!J147&lt;'COEFICIENTES A ALTERAR'!E47,8,9))))))))</f>
        <v>1</v>
      </c>
    </row>
    <row r="148" spans="2:15" hidden="1" x14ac:dyDescent="0.2"/>
    <row r="149" spans="2:15" hidden="1" x14ac:dyDescent="0.2"/>
    <row r="150" spans="2:15" hidden="1" x14ac:dyDescent="0.2"/>
    <row r="151" spans="2:15" ht="15" hidden="1" x14ac:dyDescent="0.2">
      <c r="B151" s="2" t="s">
        <v>453</v>
      </c>
      <c r="H151" s="89">
        <f>(0.75*('SIMULADOR - DADOS'!E15*(0.95^('SIMULADOR - DADOS'!E15/100))))+(2*'SIMULADOR - DADOS'!E16)</f>
        <v>0</v>
      </c>
      <c r="I151" s="2" t="s">
        <v>446</v>
      </c>
      <c r="K151" s="32"/>
      <c r="L151" s="32"/>
    </row>
    <row r="152" spans="2:15" ht="15" hidden="1" x14ac:dyDescent="0.2">
      <c r="B152" s="2" t="s">
        <v>451</v>
      </c>
      <c r="H152" s="55">
        <f>(H151*2)+(('SIMULADOR - DADOS'!E18-'SIMULADOR - CUSTO PROJETOS'!H151)*0.2)</f>
        <v>0</v>
      </c>
      <c r="I152" s="2" t="s">
        <v>446</v>
      </c>
      <c r="K152" s="32"/>
      <c r="L152" s="32"/>
    </row>
    <row r="153" spans="2:15" s="2" customFormat="1" ht="15" hidden="1" x14ac:dyDescent="0.2">
      <c r="B153" s="2" t="s">
        <v>378</v>
      </c>
      <c r="H153" s="5">
        <f>IF((ROUND((H152*'COEFICIENTES A ALTERAR'!E7*0.1*('SIMULADOR - DADOS'!F22*'SIMULADOR - DADOS'!F24*'SIMULADOR - DADOS'!F25*'SIMULADOR - DADOS'!F26*'SIMULADOR - DADOS'!F27*'SIMULADOR - DADOS'!I24)),-1))&lt;ROUND(('COEFICIENTES A ALTERAR'!E29),-1),ROUND(('COEFICIENTES A ALTERAR'!E29),-1),ROUND((H152*'COEFICIENTES A ALTERAR'!E7*0.1*('SIMULADOR - DADOS'!F22*'SIMULADOR - DADOS'!F24*'SIMULADOR - DADOS'!F25*'SIMULADOR - DADOS'!F26*'SIMULADOR - DADOS'!F27*'SIMULADOR - DADOS'!I24)),-1))</f>
        <v>220</v>
      </c>
      <c r="K153" s="5"/>
      <c r="N153" s="68"/>
    </row>
    <row r="154" spans="2:15" s="2" customFormat="1" ht="15" hidden="1" x14ac:dyDescent="0.2">
      <c r="B154" s="2" t="s">
        <v>395</v>
      </c>
      <c r="H154" s="5">
        <f>IF((ROUND((H151*'COEFICIENTES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ALTERAR'!E7*(1+('COEFICIENTES A ALTERAR'!E36*0.05))*('SIMULADOR - DADOS'!F22*'SIMULADOR - DADOS'!F24*'SIMULADOR - DADOS'!F25*'SIMULADOR - DADOS'!F26*'SIMULADOR - DADOS'!F27*'SIMULADOR - DADOS'!I24)),-1))</f>
        <v>220</v>
      </c>
      <c r="K154" s="5">
        <f>IF((ROUND((H151*'COEFICIENTES A ALTERAR'!E7*('SIMULADOR - DADOS'!F22*'SIMULADOR - DADOS'!F24*'SIMULADOR - DADOS'!F25*'SIMULADOR - DADOS'!F26*'SIMULADOR - DADOS'!F27*'SIMULADOR - DADOS'!I24)),-1))&lt;ROUND(('COEFICIENTES A ALTERAR'!E29),-1),ROUND(('COEFICIENTES A ALTERAR'!E29),-1),ROUND((H151*'COEFICIENTES A ALTERAR'!E7*('SIMULADOR - DADOS'!F22*'SIMULADOR - DADOS'!F24*'SIMULADOR - DADOS'!F25*'SIMULADOR - DADOS'!F26*'SIMULADOR - DADOS'!F27*'SIMULADOR - DADOS'!I24)),-1))</f>
        <v>220</v>
      </c>
      <c r="N154" s="68">
        <f t="shared" ref="N154:N159" si="4">ROUND(((K154/H154)-1),1)</f>
        <v>0</v>
      </c>
    </row>
    <row r="155" spans="2:15" s="2" customFormat="1" ht="15" hidden="1" x14ac:dyDescent="0.2">
      <c r="B155" s="2" t="s">
        <v>426</v>
      </c>
      <c r="H155" s="5">
        <f>IF((ROUND((H151*'COEFICIENTES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ALTERAR'!E11*(1+('COEFICIENTES A ALTERAR'!E36*0.05))*('SIMULADOR - DADOS'!F22*'SIMULADOR - DADOS'!F24*'SIMULADOR - DADOS'!F25*'SIMULADOR - DADOS'!F26*'SIMULADOR - DADOS'!F27*'SIMULADOR - DADOS'!I24)),-1))</f>
        <v>220</v>
      </c>
      <c r="K155" s="5">
        <f>IF((ROUND((H151*'COEFICIENTES A ALTERAR'!E11*('SIMULADOR - DADOS'!F22*'SIMULADOR - DADOS'!F24*'SIMULADOR - DADOS'!F25*'SIMULADOR - DADOS'!F26*'SIMULADOR - DADOS'!F27*'SIMULADOR - DADOS'!I24)),-1))&lt;ROUND(('COEFICIENTES A ALTERAR'!E29),-1),ROUND(('COEFICIENTES A ALTERAR'!E29),-1),ROUND((H151*'COEFICIENTES A ALTERAR'!E11*('SIMULADOR - DADOS'!F22*'SIMULADOR - DADOS'!F24*'SIMULADOR - DADOS'!F25*'SIMULADOR - DADOS'!F26*'SIMULADOR - DADOS'!F27*'SIMULADOR - DADOS'!I24)),-1))</f>
        <v>220</v>
      </c>
      <c r="N155" s="68">
        <f t="shared" si="4"/>
        <v>0</v>
      </c>
      <c r="O155" s="68"/>
    </row>
    <row r="156" spans="2:15" s="2" customFormat="1" ht="15" hidden="1" x14ac:dyDescent="0.2">
      <c r="B156" s="2" t="s">
        <v>405</v>
      </c>
      <c r="H156" s="5">
        <f>IF((ROUND((H151*'COEFICIENTES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ALTERAR'!E13*(1+('COEFICIENTES A ALTERAR'!E36*0.05))*('SIMULADOR - DADOS'!F22*'SIMULADOR - DADOS'!F24*'SIMULADOR - DADOS'!F25*'SIMULADOR - DADOS'!F26*'SIMULADOR - DADOS'!F27*'SIMULADOR - DADOS'!I24)),-1))</f>
        <v>220</v>
      </c>
      <c r="K156" s="5">
        <f>IF((ROUND((H151*'COEFICIENTES A ALTERAR'!E13*('SIMULADOR - DADOS'!F22*'SIMULADOR - DADOS'!F24*'SIMULADOR - DADOS'!F25*'SIMULADOR - DADOS'!F26*'SIMULADOR - DADOS'!F27*'SIMULADOR - DADOS'!I24)),-1))&lt;ROUND(('COEFICIENTES A ALTERAR'!E29),-1),ROUND(('COEFICIENTES A ALTERAR'!E29),-1),ROUND((H151*'COEFICIENTES A ALTERAR'!E13*('SIMULADOR - DADOS'!F22*'SIMULADOR - DADOS'!F24*'SIMULADOR - DADOS'!F25*'SIMULADOR - DADOS'!F26*'SIMULADOR - DADOS'!F27*'SIMULADOR - DADOS'!I24)),-1))</f>
        <v>220</v>
      </c>
      <c r="N156" s="68">
        <f t="shared" si="4"/>
        <v>0</v>
      </c>
      <c r="O156" s="68">
        <f>IF(N156&gt;N155,N156,N155)</f>
        <v>0</v>
      </c>
    </row>
    <row r="157" spans="2:15" s="2" customFormat="1" ht="15" hidden="1" x14ac:dyDescent="0.2">
      <c r="B157" s="2" t="s">
        <v>406</v>
      </c>
      <c r="H157" s="5">
        <f>IF((ROUND((H151*'COEFICIENTES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ALTERAR'!E15*(1+('COEFICIENTES A ALTERAR'!E36*0.05))*('SIMULADOR - DADOS'!F22*'SIMULADOR - DADOS'!F24*'SIMULADOR - DADOS'!F25*'SIMULADOR - DADOS'!F26*'SIMULADOR - DADOS'!F27*'SIMULADOR - DADOS'!I24)),-1))</f>
        <v>220</v>
      </c>
      <c r="K157" s="5">
        <f>IF((ROUND((H151*'COEFICIENTES A ALTERAR'!E15*('SIMULADOR - DADOS'!F22*'SIMULADOR - DADOS'!F24*'SIMULADOR - DADOS'!F25*'SIMULADOR - DADOS'!F26*'SIMULADOR - DADOS'!F27*'SIMULADOR - DADOS'!I24)),-1))&lt;ROUND(('COEFICIENTES A ALTERAR'!E29),-1),ROUND(('COEFICIENTES A ALTERAR'!E29),-1),ROUND((H151*'COEFICIENTES A ALTERAR'!E15*('SIMULADOR - DADOS'!F22*'SIMULADOR - DADOS'!F24*'SIMULADOR - DADOS'!F25*'SIMULADOR - DADOS'!F26*'SIMULADOR - DADOS'!F27*'SIMULADOR - DADOS'!I24)),-1))</f>
        <v>220</v>
      </c>
      <c r="N157" s="68">
        <f t="shared" si="4"/>
        <v>0</v>
      </c>
      <c r="O157" s="68">
        <f>IF(N157&gt;N156,N157,N156)</f>
        <v>0</v>
      </c>
    </row>
    <row r="158" spans="2:15" s="2" customFormat="1" ht="15" hidden="1" x14ac:dyDescent="0.2">
      <c r="B158" s="2" t="s">
        <v>407</v>
      </c>
      <c r="H158" s="5">
        <f>IF((ROUND((H151*'COEFICIENTES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ALTERAR'!E17*(1+('COEFICIENTES A ALTERAR'!E36*0.05))*('SIMULADOR - DADOS'!F22*'SIMULADOR - DADOS'!F24*'SIMULADOR - DADOS'!F25*'SIMULADOR - DADOS'!F26*'SIMULADOR - DADOS'!F27*'SIMULADOR - DADOS'!I24)),-1))</f>
        <v>220</v>
      </c>
      <c r="K158" s="5">
        <f>IF((ROUND((H151*'COEFICIENTES A ALTERAR'!E17*('SIMULADOR - DADOS'!F22*'SIMULADOR - DADOS'!F24*'SIMULADOR - DADOS'!F25*'SIMULADOR - DADOS'!F26*'SIMULADOR - DADOS'!F27*'SIMULADOR - DADOS'!I24)),-1))&lt;ROUND(('COEFICIENTES A ALTERAR'!E29),-1),ROUND(('COEFICIENTES A ALTERAR'!E29),-1),ROUND((H151*'COEFICIENTES A ALTERAR'!E17*('SIMULADOR - DADOS'!F22*'SIMULADOR - DADOS'!F24*'SIMULADOR - DADOS'!F25*'SIMULADOR - DADOS'!F26*'SIMULADOR - DADOS'!F27*'SIMULADOR - DADOS'!I24)),-1))</f>
        <v>220</v>
      </c>
      <c r="N158" s="68">
        <f t="shared" si="4"/>
        <v>0</v>
      </c>
      <c r="O158" s="68">
        <f>IF(N158&gt;N157,N158,N157)</f>
        <v>0</v>
      </c>
    </row>
    <row r="159" spans="2:15" s="2" customFormat="1" ht="15" hidden="1" x14ac:dyDescent="0.2">
      <c r="B159" s="2" t="s">
        <v>408</v>
      </c>
      <c r="H159" s="5">
        <f>IF((ROUND((H151*'COEFICIENTES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ALTERAR'!E29),-1),ROUND((H151*'COEFICIENTES A ALTERAR'!E19*(1+('COEFICIENTES A ALTERAR'!E36*0.05))*('SIMULADOR - DADOS'!F22*'SIMULADOR - DADOS'!F24*'SIMULADOR - DADOS'!F25*'SIMULADOR - DADOS'!F26*'SIMULADOR - DADOS'!F27*'SIMULADOR - DADOS'!I24)),-1))</f>
        <v>220</v>
      </c>
      <c r="K159" s="5">
        <f>IF((ROUND((H151*'COEFICIENTES A ALTERAR'!E19*('SIMULADOR - DADOS'!F22*'SIMULADOR - DADOS'!F24*'SIMULADOR - DADOS'!F25*'SIMULADOR - DADOS'!F26*'SIMULADOR - DADOS'!F27*'SIMULADOR - DADOS'!I24)),-1))&lt;ROUND(('COEFICIENTES A ALTERAR'!E29),-1),ROUND(('COEFICIENTES A ALTERAR'!E29),-1),ROUND((H151*'COEFICIENTES A ALTERAR'!E19*('SIMULADOR - DADOS'!F22*'SIMULADOR - DADOS'!F24*'SIMULADOR - DADOS'!F25*'SIMULADOR - DADOS'!F26*'SIMULADOR - DADOS'!F27*'SIMULADOR - DADOS'!I24)),-1))</f>
        <v>220</v>
      </c>
      <c r="N159" s="68">
        <f t="shared" si="4"/>
        <v>0</v>
      </c>
      <c r="O159" s="68">
        <f>IF(N159&gt;N158,N159,N158)</f>
        <v>0</v>
      </c>
    </row>
    <row r="160" spans="2:15" s="2" customFormat="1" ht="15" hidden="1" x14ac:dyDescent="0.2">
      <c r="B160" s="2" t="s">
        <v>409</v>
      </c>
      <c r="H160" s="85"/>
      <c r="K160" s="5"/>
      <c r="N160" s="68"/>
      <c r="O160" s="68"/>
    </row>
    <row r="161" spans="2:15" s="2" customFormat="1" ht="15" hidden="1" x14ac:dyDescent="0.2">
      <c r="B161" s="2" t="s">
        <v>410</v>
      </c>
      <c r="H161" s="5">
        <f>ROUND('COEFICIENTES A ALTERAR'!E29,-1)</f>
        <v>220</v>
      </c>
      <c r="K161" s="5">
        <f>ROUND('COEFICIENTES A ALTERAR'!E29,-1)</f>
        <v>220</v>
      </c>
      <c r="N161" s="68">
        <f>ROUND(((K161/H161)-1),1)</f>
        <v>0</v>
      </c>
      <c r="O161" s="68">
        <f>IF(N161&gt;N159,N161,N159)</f>
        <v>0</v>
      </c>
    </row>
    <row r="162" spans="2:15" s="2" customFormat="1" ht="15" hidden="1" x14ac:dyDescent="0.2">
      <c r="B162" s="2" t="s">
        <v>411</v>
      </c>
      <c r="H162" s="5">
        <f>ROUND(('COEFICIENTES A ALTERAR'!E27*('SIMULADOR - DADOS'!F22*'SIMULADOR - DADOS'!F24*'SIMULADOR - DADOS'!F25*'SIMULADOR - DADOS'!F26*'SIMULADOR - DADOS'!F27*'SIMULADOR - DADOS'!I24)),-1)</f>
        <v>0</v>
      </c>
      <c r="K162" s="5"/>
      <c r="N162" s="68"/>
      <c r="O162" s="68"/>
    </row>
    <row r="163" spans="2:15" s="2" customFormat="1" ht="15" hidden="1" x14ac:dyDescent="0.2">
      <c r="B163" s="2" t="s">
        <v>431</v>
      </c>
      <c r="H163" s="5">
        <f>ROUND(('COEFICIENTES A ALTERAR'!E31*(1.5^(O165-1))*(1+('COEFICIENTES A ALTERAR'!E36*0.05))*('SIMULADOR - DADOS'!F22*'SIMULADOR - DADOS'!F24*'SIMULADOR - DADOS'!F25*'SIMULADOR - DADOS'!F26*'SIMULADOR - DADOS'!F27*'SIMULADOR - DADOS'!I24)),-1)</f>
        <v>0</v>
      </c>
      <c r="K163" s="5"/>
      <c r="N163" s="68"/>
      <c r="O163" s="68"/>
    </row>
    <row r="164" spans="2:15" s="2" customFormat="1" ht="15" hidden="1" x14ac:dyDescent="0.2">
      <c r="B164" s="2" t="s">
        <v>432</v>
      </c>
      <c r="H164" s="5">
        <f>IF(H163/2&lt;'COEFICIENTES A ALTERAR'!E31,ROUND(('COEFICIENTES A ALTERAR'!E31),-1),H163/2)</f>
        <v>100</v>
      </c>
      <c r="K164" s="5"/>
      <c r="N164" s="68"/>
      <c r="O164" s="68"/>
    </row>
    <row r="165" spans="2:15" s="2" customFormat="1" ht="15" hidden="1" x14ac:dyDescent="0.2">
      <c r="B165" s="2" t="s">
        <v>433</v>
      </c>
      <c r="H165" s="5">
        <f>ROUND(('COEFICIENTES A ALTERAR'!E33*(1.5^(O165-1))*(1+('COEFICIENTES A ALTERAR'!E36*0.05))*('SIMULADOR - DADOS'!F22*'SIMULADOR - DADOS'!F24*'SIMULADOR - DADOS'!F25*'SIMULADOR - DADOS'!F26*'SIMULADOR - DADOS'!F27*'SIMULADOR - DADOS'!I24)),-1)</f>
        <v>0</v>
      </c>
      <c r="J165" s="126">
        <f>H151*'COEFICIENTES A ALTERAR'!E39</f>
        <v>0</v>
      </c>
      <c r="K165" s="127"/>
      <c r="N165" s="68" t="s">
        <v>444</v>
      </c>
      <c r="O165" s="55">
        <f>IF(J165&lt;'COEFICIENTES A ALTERAR'!E40,1,IF('SIMULADOR - CUSTO PROJETOS'!J165&lt;'COEFICIENTES A ALTERAR'!E41,2,IF('SIMULADOR - CUSTO PROJETOS'!J165&lt;'COEFICIENTES A ALTERAR'!E42,3,IF('SIMULADOR - CUSTO PROJETOS'!J165&lt;'COEFICIENTES A ALTERAR'!E43,4,IF('SIMULADOR - CUSTO PROJETOS'!J165&lt;'COEFICIENTES A ALTERAR'!E44,5,IF('SIMULADOR - CUSTO PROJETOS'!J165&lt;'COEFICIENTES A ALTERAR'!E45,6,IF('SIMULADOR - CUSTO PROJETOS'!J165&lt;'COEFICIENTES A ALTERAR'!E46,7,IF('SIMULADOR - CUSTO PROJETOS'!J165&lt;'COEFICIENTES A ALTERAR'!E47,8,9))))))))</f>
        <v>1</v>
      </c>
    </row>
    <row r="166" spans="2:15" hidden="1" x14ac:dyDescent="0.2"/>
    <row r="167" spans="2:15" hidden="1" x14ac:dyDescent="0.2"/>
    <row r="168" spans="2:15" hidden="1" x14ac:dyDescent="0.2"/>
    <row r="169" spans="2:15" ht="15" hidden="1" x14ac:dyDescent="0.2">
      <c r="B169" s="2" t="s">
        <v>454</v>
      </c>
      <c r="H169" s="55">
        <f>(0.75*'SIMULADOR - DADOS'!E15)*(0.95^('SIMULADOR - DADOS'!E15/100))</f>
        <v>0</v>
      </c>
      <c r="I169" s="2" t="s">
        <v>446</v>
      </c>
      <c r="K169" s="32"/>
      <c r="L169" s="32"/>
    </row>
    <row r="170" spans="2:15" ht="15" hidden="1" x14ac:dyDescent="0.2">
      <c r="B170" s="2" t="s">
        <v>451</v>
      </c>
      <c r="H170" s="55">
        <f>(H169*2)+(('SIMULADOR - DADOS'!E18-'SIMULADOR - CUSTO PROJETOS'!H169)*0.2)</f>
        <v>0</v>
      </c>
      <c r="I170" s="2" t="s">
        <v>446</v>
      </c>
      <c r="K170" s="32"/>
      <c r="L170" s="32"/>
    </row>
    <row r="171" spans="2:15" s="2" customFormat="1" ht="15" hidden="1" x14ac:dyDescent="0.2">
      <c r="B171" s="2" t="s">
        <v>378</v>
      </c>
      <c r="H171" s="5">
        <f>IF((ROUND((H170*'COEFICIENTES A ALTERAR'!E7*0.1*('SIMULADOR - DADOS'!F22*'SIMULADOR - DADOS'!F24*'SIMULADOR - DADOS'!F25*'SIMULADOR - DADOS'!F26*'SIMULADOR - DADOS'!F27*'SIMULADOR - DADOS'!I24)),-1))&lt;ROUND(('COEFICIENTES A ALTERAR'!E29),-1),ROUND(('COEFICIENTES A ALTERAR'!E29),-1),ROUND((H170*'COEFICIENTES A ALTERAR'!E7*0.1*('SIMULADOR - DADOS'!F22*'SIMULADOR - DADOS'!F24*'SIMULADOR - DADOS'!F25*'SIMULADOR - DADOS'!F26*'SIMULADOR - DADOS'!F27*'SIMULADOR - DADOS'!I24)),-1))</f>
        <v>220</v>
      </c>
      <c r="K171" s="5"/>
      <c r="N171" s="68"/>
    </row>
    <row r="172" spans="2:15" s="2" customFormat="1" ht="15" hidden="1" x14ac:dyDescent="0.2">
      <c r="B172" s="2" t="s">
        <v>395</v>
      </c>
      <c r="H172" s="5">
        <f>IF((ROUND((H169*'COEFICIENTES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ALTERAR'!E29),-1),ROUND((H169*'COEFICIENTES A ALTERAR'!E7*(1+('COEFICIENTES A ALTERAR'!E36*0.05))*('SIMULADOR - DADOS'!F22*'SIMULADOR - DADOS'!F24*'SIMULADOR - DADOS'!F25*'SIMULADOR - DADOS'!F26*'SIMULADOR - DADOS'!F27*'SIMULADOR - DADOS'!I24)),-1))</f>
        <v>220</v>
      </c>
      <c r="K172" s="5">
        <f>IF((ROUND((H169*'COEFICIENTES A ALTERAR'!E7*('SIMULADOR - DADOS'!F22*'SIMULADOR - DADOS'!F24*'SIMULADOR - DADOS'!F25*'SIMULADOR - DADOS'!F26*'SIMULADOR - DADOS'!F27*'SIMULADOR - DADOS'!I24)),-1))&lt;ROUND(('COEFICIENTES A ALTERAR'!E29),-1),ROUND(('COEFICIENTES A ALTERAR'!E29),-1),ROUND((H169*'COEFICIENTES A ALTERAR'!E7*('SIMULADOR - DADOS'!F22*'SIMULADOR - DADOS'!F24*'SIMULADOR - DADOS'!F25*'SIMULADOR - DADOS'!F26*'SIMULADOR - DADOS'!F27*'SIMULADOR - DADOS'!I24)),-1))</f>
        <v>220</v>
      </c>
      <c r="N172" s="68">
        <f>ROUND(((K172/H172)-1),1)</f>
        <v>0</v>
      </c>
    </row>
    <row r="173" spans="2:15" s="2" customFormat="1" ht="15" hidden="1" x14ac:dyDescent="0.2">
      <c r="B173" s="2" t="s">
        <v>426</v>
      </c>
      <c r="H173" s="5">
        <f>IF((ROUND((H169*'COEFICIENTES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ALTERAR'!E29),-1),ROUND((H169*'COEFICIENTES A ALTERAR'!E11*(1+('COEFICIENTES A ALTERAR'!E36*0.05))*('SIMULADOR - DADOS'!F22*'SIMULADOR - DADOS'!F24*'SIMULADOR - DADOS'!F25*'SIMULADOR - DADOS'!F26*'SIMULADOR - DADOS'!F27*'SIMULADOR - DADOS'!I24)),-1))</f>
        <v>220</v>
      </c>
      <c r="K173" s="5">
        <f>IF((ROUND((H169*'COEFICIENTES A ALTERAR'!E11*('SIMULADOR - DADOS'!F22*'SIMULADOR - DADOS'!F24*'SIMULADOR - DADOS'!F25*'SIMULADOR - DADOS'!F26*'SIMULADOR - DADOS'!F27*'SIMULADOR - DADOS'!I24)),-1))&lt;ROUND(('COEFICIENTES A ALTERAR'!E29),-1),ROUND(('COEFICIENTES A ALTERAR'!E29),-1),ROUND((H169*'COEFICIENTES A ALTERAR'!E11*('SIMULADOR - DADOS'!F22*'SIMULADOR - DADOS'!F24*'SIMULADOR - DADOS'!F25*'SIMULADOR - DADOS'!F26*'SIMULADOR - DADOS'!F27*'SIMULADOR - DADOS'!I24)),-1))</f>
        <v>220</v>
      </c>
      <c r="N173" s="68">
        <f>ROUND(((K173/H173)-1),1)</f>
        <v>0</v>
      </c>
      <c r="O173" s="68"/>
    </row>
    <row r="174" spans="2:15" s="2" customFormat="1" ht="15" hidden="1" x14ac:dyDescent="0.2">
      <c r="B174" s="2" t="s">
        <v>405</v>
      </c>
      <c r="H174" s="5">
        <f>IF((ROUND((H169*'COEFICIENTES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ALTERAR'!E29),-1),ROUND((H169*'COEFICIENTES A ALTERAR'!E13*(1+('COEFICIENTES A ALTERAR'!E36*0.05))*('SIMULADOR - DADOS'!F22*'SIMULADOR - DADOS'!F24*'SIMULADOR - DADOS'!F25*'SIMULADOR - DADOS'!F26*'SIMULADOR - DADOS'!F27*'SIMULADOR - DADOS'!I24)),-1))</f>
        <v>220</v>
      </c>
      <c r="K174" s="5">
        <f>IF((ROUND((H169*'COEFICIENTES A ALTERAR'!E13*('SIMULADOR - DADOS'!F22*'SIMULADOR - DADOS'!F24*'SIMULADOR - DADOS'!F25*'SIMULADOR - DADOS'!F26*'SIMULADOR - DADOS'!F27*'SIMULADOR - DADOS'!I24)),-1))&lt;ROUND(('COEFICIENTES A ALTERAR'!E29),-1),ROUND(('COEFICIENTES A ALTERAR'!E29),-1),ROUND((H169*'COEFICIENTES A ALTERAR'!E13*('SIMULADOR - DADOS'!F22*'SIMULADOR - DADOS'!F24*'SIMULADOR - DADOS'!F25*'SIMULADOR - DADOS'!F26*'SIMULADOR - DADOS'!F27*'SIMULADOR - DADOS'!I24)),-1))</f>
        <v>220</v>
      </c>
      <c r="N174" s="68">
        <f>ROUND(((K174/H174)-1),1)</f>
        <v>0</v>
      </c>
      <c r="O174" s="68">
        <f>IF(N174&gt;N173,N174,N173)</f>
        <v>0</v>
      </c>
    </row>
    <row r="175" spans="2:15" s="2" customFormat="1" ht="15" hidden="1" x14ac:dyDescent="0.2">
      <c r="B175" s="2" t="s">
        <v>406</v>
      </c>
      <c r="H175" s="5">
        <f>IF((ROUND((H169*'COEFICIENTES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ALTERAR'!E29),-1),ROUND((H169*'COEFICIENTES A ALTERAR'!E15*(1+('COEFICIENTES A ALTERAR'!E36*0.05))*('SIMULADOR - DADOS'!F22*'SIMULADOR - DADOS'!F24*'SIMULADOR - DADOS'!F25*'SIMULADOR - DADOS'!F26*'SIMULADOR - DADOS'!F27*'SIMULADOR - DADOS'!I24)),-1))</f>
        <v>220</v>
      </c>
      <c r="K175" s="5">
        <f>IF((ROUND((H169*'COEFICIENTES A ALTERAR'!E15*('SIMULADOR - DADOS'!F22*'SIMULADOR - DADOS'!F24*'SIMULADOR - DADOS'!F25*'SIMULADOR - DADOS'!F26*'SIMULADOR - DADOS'!F27*'SIMULADOR - DADOS'!I24)),-1))&lt;ROUND(('COEFICIENTES A ALTERAR'!E29),-1),ROUND(('COEFICIENTES A ALTERAR'!E29),-1),ROUND((H169*'COEFICIENTES A ALTERAR'!E15*('SIMULADOR - DADOS'!F22*'SIMULADOR - DADOS'!F24*'SIMULADOR - DADOS'!F25*'SIMULADOR - DADOS'!F26*'SIMULADOR - DADOS'!F27*'SIMULADOR - DADOS'!I24)),-1))</f>
        <v>220</v>
      </c>
      <c r="N175" s="68">
        <f>ROUND(((K175/H175)-1),1)</f>
        <v>0</v>
      </c>
      <c r="O175" s="68">
        <f>IF(N175&gt;N174,N175,N174)</f>
        <v>0</v>
      </c>
    </row>
    <row r="176" spans="2:15" s="2" customFormat="1" ht="15" hidden="1" x14ac:dyDescent="0.2">
      <c r="B176" s="2" t="s">
        <v>407</v>
      </c>
      <c r="H176" s="5"/>
      <c r="K176" s="5"/>
      <c r="N176" s="68"/>
      <c r="O176" s="68"/>
    </row>
    <row r="177" spans="2:15" s="2" customFormat="1" ht="15" hidden="1" x14ac:dyDescent="0.2">
      <c r="B177" s="2" t="s">
        <v>408</v>
      </c>
      <c r="H177" s="5">
        <f>IF((ROUND((H169*'COEFICIENTES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ALTERAR'!E29),-1),ROUND((H169*'COEFICIENTES A ALTERAR'!E19*(1+('COEFICIENTES A ALTERAR'!E36*0.05))*('SIMULADOR - DADOS'!F22*'SIMULADOR - DADOS'!F24*'SIMULADOR - DADOS'!F25*'SIMULADOR - DADOS'!F26*'SIMULADOR - DADOS'!F27*'SIMULADOR - DADOS'!I24)),-1))</f>
        <v>220</v>
      </c>
      <c r="K177" s="5">
        <f>IF((ROUND((H169*'COEFICIENTES A ALTERAR'!E19*('SIMULADOR - DADOS'!F22*'SIMULADOR - DADOS'!F24*'SIMULADOR - DADOS'!F25*'SIMULADOR - DADOS'!F26*'SIMULADOR - DADOS'!F27*'SIMULADOR - DADOS'!I24)),-1))&lt;ROUND(('COEFICIENTES A ALTERAR'!E29),-1),ROUND(('COEFICIENTES A ALTERAR'!E29),-1),ROUND((H169*'COEFICIENTES A ALTERAR'!E19*('SIMULADOR - DADOS'!F22*'SIMULADOR - DADOS'!F24*'SIMULADOR - DADOS'!F25*'SIMULADOR - DADOS'!F26*'SIMULADOR - DADOS'!F27*'SIMULADOR - DADOS'!I24)),-1))</f>
        <v>220</v>
      </c>
      <c r="N177" s="68">
        <f>ROUND(((K177/H177)-1),1)</f>
        <v>0</v>
      </c>
      <c r="O177" s="68">
        <f>IF(N177&gt;N175,N177,N175)</f>
        <v>0</v>
      </c>
    </row>
    <row r="178" spans="2:15" s="2" customFormat="1" ht="15" hidden="1" x14ac:dyDescent="0.2">
      <c r="B178" s="2" t="s">
        <v>409</v>
      </c>
      <c r="H178" s="85"/>
      <c r="K178" s="5"/>
      <c r="N178" s="68"/>
      <c r="O178" s="68"/>
    </row>
    <row r="179" spans="2:15" s="2" customFormat="1" ht="15" hidden="1" x14ac:dyDescent="0.2">
      <c r="B179" s="2" t="s">
        <v>410</v>
      </c>
      <c r="H179" s="5"/>
      <c r="K179" s="5"/>
      <c r="N179" s="68"/>
      <c r="O179" s="68"/>
    </row>
    <row r="180" spans="2:15" s="2" customFormat="1" ht="15" hidden="1" x14ac:dyDescent="0.2">
      <c r="B180" s="2" t="s">
        <v>411</v>
      </c>
      <c r="H180" s="5"/>
      <c r="K180" s="5"/>
      <c r="N180" s="68"/>
      <c r="O180" s="68"/>
    </row>
    <row r="181" spans="2:15" s="2" customFormat="1" ht="15" hidden="1" x14ac:dyDescent="0.2">
      <c r="B181" s="2" t="s">
        <v>431</v>
      </c>
      <c r="H181" s="5"/>
      <c r="K181" s="5"/>
      <c r="N181" s="68"/>
      <c r="O181" s="68"/>
    </row>
    <row r="182" spans="2:15" s="2" customFormat="1" ht="15" hidden="1" x14ac:dyDescent="0.2">
      <c r="B182" s="2" t="s">
        <v>432</v>
      </c>
      <c r="H182" s="5"/>
      <c r="K182" s="5"/>
      <c r="N182" s="68"/>
      <c r="O182" s="68"/>
    </row>
    <row r="183" spans="2:15" s="2" customFormat="1" ht="15" hidden="1" x14ac:dyDescent="0.2">
      <c r="B183" s="2" t="s">
        <v>433</v>
      </c>
      <c r="H183" s="5"/>
      <c r="J183" s="126"/>
      <c r="K183" s="127"/>
      <c r="N183" s="68"/>
      <c r="O183" s="55"/>
    </row>
    <row r="184" spans="2:15" hidden="1" x14ac:dyDescent="0.2"/>
    <row r="185" spans="2:15" hidden="1" x14ac:dyDescent="0.2"/>
    <row r="186" spans="2:15" hidden="1" x14ac:dyDescent="0.2"/>
    <row r="187" spans="2:15" ht="15" hidden="1" x14ac:dyDescent="0.2">
      <c r="B187" s="2" t="s">
        <v>455</v>
      </c>
      <c r="H187" s="55">
        <f>(1.5*'SIMULADOR - DADOS'!E15)*(0.95^('SIMULADOR - DADOS'!E15/100))</f>
        <v>0</v>
      </c>
      <c r="I187" s="2" t="s">
        <v>446</v>
      </c>
      <c r="K187" s="32"/>
      <c r="L187" s="32"/>
    </row>
    <row r="188" spans="2:15" ht="15" hidden="1" x14ac:dyDescent="0.2">
      <c r="B188" s="2" t="s">
        <v>451</v>
      </c>
      <c r="H188" s="55"/>
      <c r="I188" s="2"/>
      <c r="K188" s="32"/>
      <c r="L188" s="32"/>
    </row>
    <row r="189" spans="2:15" s="2" customFormat="1" ht="15" hidden="1" x14ac:dyDescent="0.2">
      <c r="B189" s="2" t="s">
        <v>378</v>
      </c>
      <c r="H189" s="5"/>
      <c r="K189" s="5"/>
      <c r="N189" s="68"/>
    </row>
    <row r="190" spans="2:15" s="2" customFormat="1" ht="15" hidden="1" x14ac:dyDescent="0.2">
      <c r="B190" s="2" t="s">
        <v>395</v>
      </c>
      <c r="H190" s="5">
        <f>IF((ROUND((H187*'COEFICIENTES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ALTERAR'!E29),-1),ROUND((H187*'COEFICIENTES A ALTERAR'!E7*(1+('COEFICIENTES A ALTERAR'!E36*0.05))*('SIMULADOR - DADOS'!F22*'SIMULADOR - DADOS'!F24*'SIMULADOR - DADOS'!F25*'SIMULADOR - DADOS'!F26*'SIMULADOR - DADOS'!F27*'SIMULADOR - DADOS'!I24)),-1))</f>
        <v>220</v>
      </c>
      <c r="K190" s="5">
        <f>IF((ROUND((H187*'COEFICIENTES A ALTERAR'!E7*('SIMULADOR - DADOS'!F22*'SIMULADOR - DADOS'!F24*'SIMULADOR - DADOS'!F25*'SIMULADOR - DADOS'!F26*'SIMULADOR - DADOS'!F27*'SIMULADOR - DADOS'!I24)),-1))&lt;ROUND(('COEFICIENTES A ALTERAR'!E29),-1),ROUND(('COEFICIENTES A ALTERAR'!E29),-1),ROUND((H187*'COEFICIENTES A ALTERAR'!E7*('SIMULADOR - DADOS'!F22*'SIMULADOR - DADOS'!F24*'SIMULADOR - DADOS'!F25*'SIMULADOR - DADOS'!F26*'SIMULADOR - DADOS'!F27*'SIMULADOR - DADOS'!I24)),-1))</f>
        <v>220</v>
      </c>
      <c r="N190" s="68">
        <f>ROUND(((K190/H190)-1),1)</f>
        <v>0</v>
      </c>
    </row>
    <row r="191" spans="2:15" s="2" customFormat="1" ht="15" hidden="1" x14ac:dyDescent="0.2">
      <c r="B191" s="2" t="s">
        <v>426</v>
      </c>
      <c r="H191" s="5"/>
      <c r="K191" s="5"/>
      <c r="N191" s="68"/>
      <c r="O191" s="68"/>
    </row>
    <row r="192" spans="2:15" s="2" customFormat="1" ht="15" hidden="1" x14ac:dyDescent="0.2">
      <c r="B192" s="2" t="s">
        <v>405</v>
      </c>
      <c r="H192" s="5"/>
      <c r="K192" s="5"/>
      <c r="N192" s="68"/>
      <c r="O192" s="68"/>
    </row>
    <row r="193" spans="2:15" s="2" customFormat="1" ht="15" hidden="1" x14ac:dyDescent="0.2">
      <c r="B193" s="2" t="s">
        <v>406</v>
      </c>
      <c r="H193" s="5"/>
      <c r="K193" s="5"/>
      <c r="N193" s="68"/>
      <c r="O193" s="68"/>
    </row>
    <row r="194" spans="2:15" s="2" customFormat="1" ht="15" hidden="1" x14ac:dyDescent="0.2">
      <c r="B194" s="2" t="s">
        <v>407</v>
      </c>
      <c r="H194" s="5"/>
      <c r="K194" s="5"/>
      <c r="N194" s="68"/>
      <c r="O194" s="68"/>
    </row>
    <row r="195" spans="2:15" s="2" customFormat="1" ht="15" hidden="1" x14ac:dyDescent="0.2">
      <c r="B195" s="2" t="s">
        <v>408</v>
      </c>
      <c r="H195" s="5"/>
      <c r="K195" s="5"/>
      <c r="N195" s="68"/>
      <c r="O195" s="68"/>
    </row>
    <row r="196" spans="2:15" s="2" customFormat="1" ht="15" hidden="1" x14ac:dyDescent="0.2">
      <c r="B196" s="2" t="s">
        <v>409</v>
      </c>
      <c r="H196" s="85"/>
      <c r="K196" s="5"/>
      <c r="N196" s="68"/>
      <c r="O196" s="68"/>
    </row>
    <row r="197" spans="2:15" s="2" customFormat="1" ht="15" hidden="1" x14ac:dyDescent="0.2">
      <c r="B197" s="2" t="s">
        <v>410</v>
      </c>
      <c r="H197" s="5"/>
      <c r="K197" s="5"/>
      <c r="N197" s="68"/>
      <c r="O197" s="68"/>
    </row>
    <row r="198" spans="2:15" s="2" customFormat="1" ht="15" hidden="1" x14ac:dyDescent="0.2">
      <c r="B198" s="2" t="s">
        <v>411</v>
      </c>
      <c r="H198" s="5"/>
      <c r="K198" s="5"/>
      <c r="N198" s="68"/>
      <c r="O198" s="68"/>
    </row>
    <row r="199" spans="2:15" s="2" customFormat="1" ht="15" hidden="1" x14ac:dyDescent="0.2">
      <c r="B199" s="2" t="s">
        <v>431</v>
      </c>
      <c r="H199" s="5"/>
      <c r="K199" s="5"/>
      <c r="N199" s="68"/>
      <c r="O199" s="68"/>
    </row>
    <row r="200" spans="2:15" s="2" customFormat="1" ht="15" hidden="1" x14ac:dyDescent="0.2">
      <c r="B200" s="2" t="s">
        <v>432</v>
      </c>
      <c r="H200" s="5"/>
      <c r="K200" s="5"/>
      <c r="N200" s="68"/>
      <c r="O200" s="68"/>
    </row>
    <row r="201" spans="2:15" s="2" customFormat="1" ht="15" hidden="1" x14ac:dyDescent="0.2">
      <c r="B201" s="2" t="s">
        <v>433</v>
      </c>
      <c r="H201" s="5"/>
      <c r="J201" s="126"/>
      <c r="K201" s="127"/>
      <c r="N201" s="68"/>
      <c r="O201" s="55"/>
    </row>
    <row r="202" spans="2:15" hidden="1" x14ac:dyDescent="0.2"/>
    <row r="203" spans="2:15" hidden="1" x14ac:dyDescent="0.2"/>
    <row r="204" spans="2:15" hidden="1" x14ac:dyDescent="0.2"/>
    <row r="205" spans="2:15" ht="15" hidden="1" x14ac:dyDescent="0.2">
      <c r="B205" s="2" t="s">
        <v>456</v>
      </c>
      <c r="H205" s="55">
        <f>1.5*'SIMULADOR - DADOS'!E15*(0.5^('SIMULADOR - DADOS'!E15/250))</f>
        <v>0</v>
      </c>
      <c r="I205" s="2" t="s">
        <v>446</v>
      </c>
      <c r="K205" s="32"/>
      <c r="L205" s="32"/>
    </row>
    <row r="206" spans="2:15" s="2" customFormat="1" ht="15" hidden="1" x14ac:dyDescent="0.2">
      <c r="B206" s="2" t="s">
        <v>378</v>
      </c>
      <c r="H206" s="85"/>
      <c r="K206" s="5"/>
      <c r="N206" s="68"/>
    </row>
    <row r="207" spans="2:15" s="2" customFormat="1" ht="15" hidden="1" x14ac:dyDescent="0.2">
      <c r="B207" s="2" t="s">
        <v>395</v>
      </c>
      <c r="H207" s="5">
        <f>IF((ROUND((H205*'COEFICIENTES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ALTERAR'!E7*(1+('COEFICIENTES A ALTERAR'!E36*0.05))*('SIMULADOR - DADOS'!F22*'SIMULADOR - DADOS'!F24*'SIMULADOR - DADOS'!F25*'SIMULADOR - DADOS'!F26*'SIMULADOR - DADOS'!F27*'SIMULADOR - DADOS'!I24)),-1))</f>
        <v>220</v>
      </c>
      <c r="K207" s="5">
        <f>IF((ROUND((H205*'COEFICIENTES A ALTERAR'!E7*('SIMULADOR - DADOS'!F22*'SIMULADOR - DADOS'!F24*'SIMULADOR - DADOS'!F25*'SIMULADOR - DADOS'!F26*'SIMULADOR - DADOS'!F27*'SIMULADOR - DADOS'!I24)),-1))&lt;ROUND(('COEFICIENTES A ALTERAR'!E29),-1),ROUND(('COEFICIENTES A ALTERAR'!E29),-1),ROUND((H205*'COEFICIENTES A ALTERAR'!E7*('SIMULADOR - DADOS'!F22*'SIMULADOR - DADOS'!F24*'SIMULADOR - DADOS'!F25*'SIMULADOR - DADOS'!F26*'SIMULADOR - DADOS'!F27*'SIMULADOR - DADOS'!I24)),-1))</f>
        <v>220</v>
      </c>
      <c r="N207" s="68">
        <f>ROUND(((K207/H207)-1),1)</f>
        <v>0</v>
      </c>
    </row>
    <row r="208" spans="2:15" s="2" customFormat="1" ht="15" hidden="1" x14ac:dyDescent="0.2">
      <c r="B208" s="2" t="s">
        <v>426</v>
      </c>
      <c r="H208" s="5">
        <f>IF((ROUND((H205*'COEFICIENTES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ALTERAR'!E11*(1+('COEFICIENTES A ALTERAR'!E36*0.05))*('SIMULADOR - DADOS'!F22*'SIMULADOR - DADOS'!F24*'SIMULADOR - DADOS'!F25*'SIMULADOR - DADOS'!F26*'SIMULADOR - DADOS'!F27*'SIMULADOR - DADOS'!I24)),-1))</f>
        <v>220</v>
      </c>
      <c r="K208" s="5">
        <f>IF((ROUND((H205*'COEFICIENTES A ALTERAR'!E11*('SIMULADOR - DADOS'!F22*'SIMULADOR - DADOS'!F24*'SIMULADOR - DADOS'!F25*'SIMULADOR - DADOS'!F26*'SIMULADOR - DADOS'!F27*'SIMULADOR - DADOS'!I24)),-1))&lt;ROUND(('COEFICIENTES A ALTERAR'!E29),-1),ROUND(('COEFICIENTES A ALTERAR'!E29),-1),ROUND((H205*'COEFICIENTES A ALTERAR'!E11*('SIMULADOR - DADOS'!F22*'SIMULADOR - DADOS'!F24*'SIMULADOR - DADOS'!F25*'SIMULADOR - DADOS'!F26*'SIMULADOR - DADOS'!F27*'SIMULADOR - DADOS'!I24)),-1))</f>
        <v>220</v>
      </c>
      <c r="N208" s="68">
        <f>ROUND(((K208/H208)-1),1)</f>
        <v>0</v>
      </c>
      <c r="O208" s="68"/>
    </row>
    <row r="209" spans="2:15" s="2" customFormat="1" ht="15" hidden="1" x14ac:dyDescent="0.2">
      <c r="B209" s="2" t="s">
        <v>405</v>
      </c>
      <c r="H209" s="5">
        <f>IF((ROUND((H205*'COEFICIENTES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ALTERAR'!E13*(1+('COEFICIENTES A ALTERAR'!E36*0.05))*('SIMULADOR - DADOS'!F22*'SIMULADOR - DADOS'!F24*'SIMULADOR - DADOS'!F25*'SIMULADOR - DADOS'!F26*'SIMULADOR - DADOS'!F27*'SIMULADOR - DADOS'!I24)),-1))</f>
        <v>220</v>
      </c>
      <c r="K209" s="5">
        <f>IF((ROUND((H205*'COEFICIENTES A ALTERAR'!E13*('SIMULADOR - DADOS'!F22*'SIMULADOR - DADOS'!F24*'SIMULADOR - DADOS'!F25*'SIMULADOR - DADOS'!F26*'SIMULADOR - DADOS'!F27*'SIMULADOR - DADOS'!I24)),-1))&lt;ROUND(('COEFICIENTES A ALTERAR'!E29),-1),ROUND(('COEFICIENTES A ALTERAR'!E29),-1),ROUND((H205*'COEFICIENTES A ALTERAR'!E13*('SIMULADOR - DADOS'!F22*'SIMULADOR - DADOS'!F24*'SIMULADOR - DADOS'!F25*'SIMULADOR - DADOS'!F26*'SIMULADOR - DADOS'!F27*'SIMULADOR - DADOS'!I24)),-1))</f>
        <v>220</v>
      </c>
      <c r="N209" s="68">
        <f>ROUND(((K209/H209)-1),1)</f>
        <v>0</v>
      </c>
      <c r="O209" s="68">
        <f>IF(N209&gt;N208,N209,N208)</f>
        <v>0</v>
      </c>
    </row>
    <row r="210" spans="2:15" s="2" customFormat="1" ht="15" hidden="1" x14ac:dyDescent="0.2">
      <c r="B210" s="2" t="s">
        <v>406</v>
      </c>
      <c r="H210" s="5">
        <f>IF((ROUND((H205*'COEFICIENTES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ALTERAR'!E15*(1+('COEFICIENTES A ALTERAR'!E36*0.05))*('SIMULADOR - DADOS'!F22*'SIMULADOR - DADOS'!F24*'SIMULADOR - DADOS'!F25*'SIMULADOR - DADOS'!F26*'SIMULADOR - DADOS'!F27*'SIMULADOR - DADOS'!I24)),-1))</f>
        <v>220</v>
      </c>
      <c r="K210" s="5">
        <f>IF((ROUND((H205*'COEFICIENTES A ALTERAR'!E15*('SIMULADOR - DADOS'!F22*'SIMULADOR - DADOS'!F24*'SIMULADOR - DADOS'!F25*'SIMULADOR - DADOS'!F26*'SIMULADOR - DADOS'!F27*'SIMULADOR - DADOS'!I24)),-1))&lt;ROUND(('COEFICIENTES A ALTERAR'!E29),-1),ROUND(('COEFICIENTES A ALTERAR'!E29),-1),ROUND((H205*'COEFICIENTES A ALTERAR'!E15*('SIMULADOR - DADOS'!F22*'SIMULADOR - DADOS'!F24*'SIMULADOR - DADOS'!F25*'SIMULADOR - DADOS'!F26*'SIMULADOR - DADOS'!F27*'SIMULADOR - DADOS'!I24)),-1))</f>
        <v>220</v>
      </c>
      <c r="N210" s="68">
        <f>ROUND(((K210/H210)-1),1)</f>
        <v>0</v>
      </c>
      <c r="O210" s="68">
        <f>IF(N210&gt;N209,N210,N209)</f>
        <v>0</v>
      </c>
    </row>
    <row r="211" spans="2:15" s="2" customFormat="1" ht="15" hidden="1" x14ac:dyDescent="0.2">
      <c r="B211" s="2" t="s">
        <v>407</v>
      </c>
      <c r="H211" s="5">
        <f>IF((ROUND((H205*'COEFICIENTES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ALTERAR'!E17*(1+('COEFICIENTES A ALTERAR'!E36*0.05))*('SIMULADOR - DADOS'!F22*'SIMULADOR - DADOS'!F24*'SIMULADOR - DADOS'!F25*'SIMULADOR - DADOS'!F26*'SIMULADOR - DADOS'!F27*'SIMULADOR - DADOS'!I24)),-1))</f>
        <v>220</v>
      </c>
      <c r="K211" s="5">
        <f>IF((ROUND((H205*'COEFICIENTES A ALTERAR'!E17*('SIMULADOR - DADOS'!F22*'SIMULADOR - DADOS'!F24*'SIMULADOR - DADOS'!F25*'SIMULADOR - DADOS'!F26*'SIMULADOR - DADOS'!F27*'SIMULADOR - DADOS'!I24)),-1))&lt;ROUND(('COEFICIENTES A ALTERAR'!E29),-1),ROUND(('COEFICIENTES A ALTERAR'!E29),-1),ROUND((H205*'COEFICIENTES A ALTERAR'!E17*('SIMULADOR - DADOS'!F22*'SIMULADOR - DADOS'!F24*'SIMULADOR - DADOS'!F25*'SIMULADOR - DADOS'!F26*'SIMULADOR - DADOS'!F27*'SIMULADOR - DADOS'!I24)),-1))</f>
        <v>220</v>
      </c>
      <c r="N211" s="68">
        <f>ROUND(((K211/H211)-1),1)</f>
        <v>0</v>
      </c>
      <c r="O211" s="68">
        <f>IF(N211&gt;N210,N211,N210)</f>
        <v>0</v>
      </c>
    </row>
    <row r="212" spans="2:15" s="2" customFormat="1" ht="15" hidden="1" x14ac:dyDescent="0.2">
      <c r="B212" s="2" t="s">
        <v>408</v>
      </c>
      <c r="H212" s="5"/>
      <c r="K212" s="5"/>
      <c r="N212" s="68"/>
      <c r="O212" s="68"/>
    </row>
    <row r="213" spans="2:15" s="2" customFormat="1" ht="15" hidden="1" x14ac:dyDescent="0.2">
      <c r="B213" s="2" t="s">
        <v>409</v>
      </c>
      <c r="H213" s="5">
        <f>IF((ROUND((H205*'COEFICIENTES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ALTERAR'!E21*(1+('COEFICIENTES A ALTERAR'!E36*0.05))*('SIMULADOR - DADOS'!F22*'SIMULADOR - DADOS'!F24*'SIMULADOR - DADOS'!F25*'SIMULADOR - DADOS'!F26*'SIMULADOR - DADOS'!F27*'SIMULADOR - DADOS'!I24)),-1))</f>
        <v>220</v>
      </c>
      <c r="K213" s="5">
        <f>IF((ROUND((H205*'COEFICIENTES A ALTERAR'!E21*('SIMULADOR - DADOS'!F22*'SIMULADOR - DADOS'!F24*'SIMULADOR - DADOS'!F25*'SIMULADOR - DADOS'!F26*'SIMULADOR - DADOS'!F27*'SIMULADOR - DADOS'!I24)),-1))&lt;ROUND(('COEFICIENTES A ALTERAR'!E29),-1),ROUND(('COEFICIENTES A ALTERAR'!E29),-1),ROUND((H205*'COEFICIENTES A ALTERAR'!E21*('SIMULADOR - DADOS'!F22*'SIMULADOR - DADOS'!F24*'SIMULADOR - DADOS'!F25*'SIMULADOR - DADOS'!F26*'SIMULADOR - DADOS'!F27*'SIMULADOR - DADOS'!I24)),-1))</f>
        <v>220</v>
      </c>
      <c r="N213" s="68">
        <f>ROUND(((K213/H213)-1),1)</f>
        <v>0</v>
      </c>
      <c r="O213" s="68">
        <f>IF(N213&gt;N211,N213,N211)</f>
        <v>0</v>
      </c>
    </row>
    <row r="214" spans="2:15" s="2" customFormat="1" ht="15" hidden="1" x14ac:dyDescent="0.2">
      <c r="B214" s="2" t="s">
        <v>410</v>
      </c>
      <c r="H214" s="5">
        <f>IF((ROUND((H205*'COEFICIENTES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ALTERAR'!E29),-1),ROUND((H205*'COEFICIENTES A ALTERAR'!E23*(1+('COEFICIENTES A ALTERAR'!E36*0.05))*('SIMULADOR - DADOS'!F22*'SIMULADOR - DADOS'!F24*'SIMULADOR - DADOS'!F25*'SIMULADOR - DADOS'!F26*'SIMULADOR - DADOS'!F27*'SIMULADOR - DADOS'!I24)),-1))</f>
        <v>220</v>
      </c>
      <c r="K214" s="5">
        <f>IF((ROUND((H205*'COEFICIENTES A ALTERAR'!E23*('SIMULADOR - DADOS'!F22*'SIMULADOR - DADOS'!F24*'SIMULADOR - DADOS'!F25*'SIMULADOR - DADOS'!F26*'SIMULADOR - DADOS'!F27*'SIMULADOR - DADOS'!I24)),-1))&lt;ROUND(('COEFICIENTES A ALTERAR'!E29),-1),ROUND(('COEFICIENTES A ALTERAR'!E29),-1),ROUND((H205*'COEFICIENTES A ALTERAR'!E23*('SIMULADOR - DADOS'!F22*'SIMULADOR - DADOS'!F24*'SIMULADOR - DADOS'!F25*'SIMULADOR - DADOS'!F26*'SIMULADOR - DADOS'!F27*'SIMULADOR - DADOS'!I24)),-1))</f>
        <v>220</v>
      </c>
      <c r="N214" s="68">
        <f>ROUND(((K214/H214)-1),1)</f>
        <v>0</v>
      </c>
      <c r="O214" s="68">
        <f>IF(N214&gt;N211,N214,N211)</f>
        <v>0</v>
      </c>
    </row>
    <row r="215" spans="2:15" s="2" customFormat="1" ht="15" hidden="1" x14ac:dyDescent="0.2">
      <c r="B215" s="2" t="s">
        <v>411</v>
      </c>
      <c r="H215" s="5">
        <f>ROUND(('COEFICIENTES A ALTERAR'!E27*('SIMULADOR - DADOS'!F22*'SIMULADOR - DADOS'!F24*'SIMULADOR - DADOS'!F25*'SIMULADOR - DADOS'!F26*'SIMULADOR - DADOS'!F27*'SIMULADOR - DADOS'!I24)),-1)</f>
        <v>0</v>
      </c>
      <c r="K215" s="5"/>
      <c r="N215" s="68"/>
      <c r="O215" s="68"/>
    </row>
    <row r="216" spans="2:15" s="2" customFormat="1" ht="15" hidden="1" x14ac:dyDescent="0.2">
      <c r="B216" s="2" t="s">
        <v>431</v>
      </c>
      <c r="H216" s="5">
        <f>ROUND(('COEFICIENTES A ALTERAR'!E31*(1.5^(O218-1))*(1+('COEFICIENTES A ALTERAR'!E36*0.05))*('SIMULADOR - DADOS'!F22*'SIMULADOR - DADOS'!F24*'SIMULADOR - DADOS'!F25*'SIMULADOR - DADOS'!F26*'SIMULADOR - DADOS'!F27*'SIMULADOR - DADOS'!I24)),-1)</f>
        <v>0</v>
      </c>
      <c r="K216" s="5"/>
      <c r="N216" s="68"/>
      <c r="O216" s="68"/>
    </row>
    <row r="217" spans="2:15" s="2" customFormat="1" ht="15" hidden="1" x14ac:dyDescent="0.2">
      <c r="B217" s="2" t="s">
        <v>432</v>
      </c>
      <c r="H217" s="5">
        <f>IF(H216/2&lt;'COEFICIENTES A ALTERAR'!E31,ROUND(('COEFICIENTES A ALTERAR'!E31),-1),H216/2)</f>
        <v>100</v>
      </c>
      <c r="K217" s="5"/>
      <c r="N217" s="68"/>
      <c r="O217" s="68"/>
    </row>
    <row r="218" spans="2:15" s="2" customFormat="1" ht="15" hidden="1" x14ac:dyDescent="0.2">
      <c r="B218" s="2" t="s">
        <v>433</v>
      </c>
      <c r="H218" s="5">
        <f>ROUND(('COEFICIENTES A ALTERAR'!E33*(1.5^(O218-1))*(1+('COEFICIENTES A ALTERAR'!E36*0.05))*('SIMULADOR - DADOS'!F22*'SIMULADOR - DADOS'!F24*'SIMULADOR - DADOS'!F25*'SIMULADOR - DADOS'!F26*'SIMULADOR - DADOS'!F27*'SIMULADOR - DADOS'!I24)),-1)</f>
        <v>0</v>
      </c>
      <c r="J218" s="126">
        <f>H205*'COEFICIENTES A ALTERAR'!E39</f>
        <v>0</v>
      </c>
      <c r="K218" s="127"/>
      <c r="N218" s="68" t="s">
        <v>444</v>
      </c>
      <c r="O218" s="55">
        <f>IF(J218&lt;'COEFICIENTES A ALTERAR'!E40,1,IF('SIMULADOR - CUSTO PROJETOS'!J218&lt;'COEFICIENTES A ALTERAR'!E41,2,IF('SIMULADOR - CUSTO PROJETOS'!J218&lt;'COEFICIENTES A ALTERAR'!E42,3,IF('SIMULADOR - CUSTO PROJETOS'!J218&lt;'COEFICIENTES A ALTERAR'!E43,4,IF('SIMULADOR - CUSTO PROJETOS'!J218&lt;'COEFICIENTES A ALTERAR'!E44,5,IF('SIMULADOR - CUSTO PROJETOS'!J218&lt;'COEFICIENTES A ALTERAR'!E45,6,IF('SIMULADOR - CUSTO PROJETOS'!J218&lt;'COEFICIENTES A ALTERAR'!E46,7,IF('SIMULADOR - CUSTO PROJETOS'!J218&lt;'COEFICIENTES A ALTERAR'!E47,8,9))))))))</f>
        <v>1</v>
      </c>
    </row>
    <row r="219" spans="2:15" hidden="1" x14ac:dyDescent="0.2"/>
    <row r="220" spans="2:15" hidden="1" x14ac:dyDescent="0.2"/>
    <row r="221" spans="2:15" hidden="1" x14ac:dyDescent="0.2"/>
    <row r="222" spans="2:15" ht="15" hidden="1" x14ac:dyDescent="0.2">
      <c r="B222" s="2" t="s">
        <v>457</v>
      </c>
      <c r="H222" s="55">
        <f>(0.75*1.5*'SIMULADOR - DADOS'!E15*(0.5^('SIMULADOR - DADOS'!E15/250)))+(2*'SIMULADOR - DADOS'!E16)</f>
        <v>0</v>
      </c>
      <c r="I222" s="2" t="s">
        <v>446</v>
      </c>
      <c r="K222" s="32"/>
      <c r="L222" s="32"/>
    </row>
    <row r="223" spans="2:15" s="2" customFormat="1" ht="15" hidden="1" x14ac:dyDescent="0.2">
      <c r="B223" s="2" t="s">
        <v>378</v>
      </c>
      <c r="H223" s="85"/>
      <c r="K223" s="5"/>
      <c r="N223" s="68"/>
    </row>
    <row r="224" spans="2:15" s="2" customFormat="1" ht="15" hidden="1" x14ac:dyDescent="0.2">
      <c r="B224" s="2" t="s">
        <v>395</v>
      </c>
      <c r="H224" s="5">
        <f>IF((ROUND((H222*'COEFICIENTES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ALTERAR'!E7*(1+('COEFICIENTES A ALTERAR'!E36*0.05))*('SIMULADOR - DADOS'!F22*'SIMULADOR - DADOS'!F24*'SIMULADOR - DADOS'!F25*'SIMULADOR - DADOS'!F26*'SIMULADOR - DADOS'!F27*'SIMULADOR - DADOS'!I24)),-1))</f>
        <v>220</v>
      </c>
      <c r="K224" s="5">
        <f>IF((ROUND((H222*'COEFICIENTES A ALTERAR'!E7*('SIMULADOR - DADOS'!F22*'SIMULADOR - DADOS'!F24*'SIMULADOR - DADOS'!F25*'SIMULADOR - DADOS'!F26*'SIMULADOR - DADOS'!F27*'SIMULADOR - DADOS'!I24)),-1))&lt;ROUND(('COEFICIENTES A ALTERAR'!E29),-1),ROUND(('COEFICIENTES A ALTERAR'!E29),-1),ROUND((H222*'COEFICIENTES A ALTERAR'!E7*('SIMULADOR - DADOS'!F22*'SIMULADOR - DADOS'!F24*'SIMULADOR - DADOS'!F25*'SIMULADOR - DADOS'!F26*'SIMULADOR - DADOS'!F27*'SIMULADOR - DADOS'!I24)),-1))</f>
        <v>220</v>
      </c>
      <c r="N224" s="68">
        <f>ROUND(((K224/H224)-1),1)</f>
        <v>0</v>
      </c>
    </row>
    <row r="225" spans="2:15" s="2" customFormat="1" ht="15" hidden="1" x14ac:dyDescent="0.2">
      <c r="B225" s="2" t="s">
        <v>426</v>
      </c>
      <c r="H225" s="5">
        <f>IF((ROUND((H222*'COEFICIENTES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ALTERAR'!E11*(1+('COEFICIENTES A ALTERAR'!E36*0.05))*('SIMULADOR - DADOS'!F22*'SIMULADOR - DADOS'!F24*'SIMULADOR - DADOS'!F25*'SIMULADOR - DADOS'!F26*'SIMULADOR - DADOS'!F27*'SIMULADOR - DADOS'!I24)),-1))</f>
        <v>220</v>
      </c>
      <c r="K225" s="5">
        <f>IF((ROUND((H222*'COEFICIENTES A ALTERAR'!E11*('SIMULADOR - DADOS'!F22*'SIMULADOR - DADOS'!F24*'SIMULADOR - DADOS'!F25*'SIMULADOR - DADOS'!F26*'SIMULADOR - DADOS'!F27*'SIMULADOR - DADOS'!I24)),-1))&lt;ROUND(('COEFICIENTES A ALTERAR'!E29),-1),ROUND(('COEFICIENTES A ALTERAR'!E29),-1),ROUND((H222*'COEFICIENTES A ALTERAR'!E11*('SIMULADOR - DADOS'!F22*'SIMULADOR - DADOS'!F24*'SIMULADOR - DADOS'!F25*'SIMULADOR - DADOS'!F26*'SIMULADOR - DADOS'!F27*'SIMULADOR - DADOS'!I24)),-1))</f>
        <v>220</v>
      </c>
      <c r="N225" s="68">
        <f>ROUND(((K225/H225)-1),1)</f>
        <v>0</v>
      </c>
      <c r="O225" s="68"/>
    </row>
    <row r="226" spans="2:15" s="2" customFormat="1" ht="15" hidden="1" x14ac:dyDescent="0.2">
      <c r="B226" s="2" t="s">
        <v>405</v>
      </c>
      <c r="H226" s="5">
        <f>IF((ROUND((H222*'COEFICIENTES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ALTERAR'!E13*(1+('COEFICIENTES A ALTERAR'!E36*0.05))*('SIMULADOR - DADOS'!F22*'SIMULADOR - DADOS'!F24*'SIMULADOR - DADOS'!F25*'SIMULADOR - DADOS'!F26*'SIMULADOR - DADOS'!F27*'SIMULADOR - DADOS'!I24)),-1))</f>
        <v>220</v>
      </c>
      <c r="K226" s="5">
        <f>IF((ROUND((H222*'COEFICIENTES A ALTERAR'!E13*('SIMULADOR - DADOS'!F22*'SIMULADOR - DADOS'!F24*'SIMULADOR - DADOS'!F25*'SIMULADOR - DADOS'!F26*'SIMULADOR - DADOS'!F27*'SIMULADOR - DADOS'!I24)),-1))&lt;ROUND(('COEFICIENTES A ALTERAR'!E29),-1),ROUND(('COEFICIENTES A ALTERAR'!E29),-1),ROUND((H222*'COEFICIENTES A ALTERAR'!E13*('SIMULADOR - DADOS'!F22*'SIMULADOR - DADOS'!F24*'SIMULADOR - DADOS'!F25*'SIMULADOR - DADOS'!F26*'SIMULADOR - DADOS'!F27*'SIMULADOR - DADOS'!I24)),-1))</f>
        <v>220</v>
      </c>
      <c r="N226" s="68">
        <f>ROUND(((K226/H226)-1),1)</f>
        <v>0</v>
      </c>
      <c r="O226" s="68">
        <f>IF(N226&gt;N225,N226,N225)</f>
        <v>0</v>
      </c>
    </row>
    <row r="227" spans="2:15" s="2" customFormat="1" ht="15" hidden="1" x14ac:dyDescent="0.2">
      <c r="B227" s="2" t="s">
        <v>406</v>
      </c>
      <c r="H227" s="5">
        <f>IF((ROUND((H222*'COEFICIENTES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ALTERAR'!E15*(1+('COEFICIENTES A ALTERAR'!E36*0.05))*('SIMULADOR - DADOS'!F22*'SIMULADOR - DADOS'!F24*'SIMULADOR - DADOS'!F25*'SIMULADOR - DADOS'!F26*'SIMULADOR - DADOS'!F27*'SIMULADOR - DADOS'!I24)),-1))</f>
        <v>220</v>
      </c>
      <c r="K227" s="5">
        <f>IF((ROUND((H222*'COEFICIENTES A ALTERAR'!E15*('SIMULADOR - DADOS'!F22*'SIMULADOR - DADOS'!F24*'SIMULADOR - DADOS'!F25*'SIMULADOR - DADOS'!F26*'SIMULADOR - DADOS'!F27*'SIMULADOR - DADOS'!I24)),-1))&lt;ROUND(('COEFICIENTES A ALTERAR'!E29),-1),ROUND(('COEFICIENTES A ALTERAR'!E29),-1),ROUND((H222*'COEFICIENTES A ALTERAR'!E15*('SIMULADOR - DADOS'!F22*'SIMULADOR - DADOS'!F24*'SIMULADOR - DADOS'!F25*'SIMULADOR - DADOS'!F26*'SIMULADOR - DADOS'!F27*'SIMULADOR - DADOS'!I24)),-1))</f>
        <v>220</v>
      </c>
      <c r="N227" s="68">
        <f>ROUND(((K227/H227)-1),1)</f>
        <v>0</v>
      </c>
      <c r="O227" s="68">
        <f>IF(N227&gt;N226,N227,N226)</f>
        <v>0</v>
      </c>
    </row>
    <row r="228" spans="2:15" s="2" customFormat="1" ht="15" hidden="1" x14ac:dyDescent="0.2">
      <c r="B228" s="2" t="s">
        <v>407</v>
      </c>
      <c r="H228" s="5">
        <f>IF((ROUND((H222*'COEFICIENTES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ALTERAR'!E17*(1+('COEFICIENTES A ALTERAR'!E36*0.05))*('SIMULADOR - DADOS'!F22*'SIMULADOR - DADOS'!F24*'SIMULADOR - DADOS'!F25*'SIMULADOR - DADOS'!F26*'SIMULADOR - DADOS'!F27*'SIMULADOR - DADOS'!I24)),-1))</f>
        <v>220</v>
      </c>
      <c r="K228" s="5">
        <f>IF((ROUND((H222*'COEFICIENTES A ALTERAR'!E17*('SIMULADOR - DADOS'!F22*'SIMULADOR - DADOS'!F24*'SIMULADOR - DADOS'!F25*'SIMULADOR - DADOS'!F26*'SIMULADOR - DADOS'!F27*'SIMULADOR - DADOS'!I24)),-1))&lt;ROUND(('COEFICIENTES A ALTERAR'!E29),-1),ROUND(('COEFICIENTES A ALTERAR'!E29),-1),ROUND((H222*'COEFICIENTES A ALTERAR'!E17*('SIMULADOR - DADOS'!F22*'SIMULADOR - DADOS'!F24*'SIMULADOR - DADOS'!F25*'SIMULADOR - DADOS'!F26*'SIMULADOR - DADOS'!F27*'SIMULADOR - DADOS'!I24)),-1))</f>
        <v>220</v>
      </c>
      <c r="N228" s="68">
        <f>ROUND(((K228/H228)-1),1)</f>
        <v>0</v>
      </c>
      <c r="O228" s="68">
        <f>IF(N228&gt;N227,N228,N227)</f>
        <v>0</v>
      </c>
    </row>
    <row r="229" spans="2:15" s="2" customFormat="1" ht="15" hidden="1" x14ac:dyDescent="0.2">
      <c r="B229" s="2" t="s">
        <v>408</v>
      </c>
      <c r="H229" s="5"/>
      <c r="K229" s="5"/>
      <c r="N229" s="68"/>
      <c r="O229" s="68"/>
    </row>
    <row r="230" spans="2:15" s="2" customFormat="1" ht="15" hidden="1" x14ac:dyDescent="0.2">
      <c r="B230" s="2" t="s">
        <v>409</v>
      </c>
      <c r="H230" s="5">
        <f>IF((ROUND((H222*'COEFICIENTES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ALTERAR'!E21*(1+('COEFICIENTES A ALTERAR'!E36*0.05))*('SIMULADOR - DADOS'!F22*'SIMULADOR - DADOS'!F24*'SIMULADOR - DADOS'!F25*'SIMULADOR - DADOS'!F26*'SIMULADOR - DADOS'!F27*'SIMULADOR - DADOS'!I24)),-1))</f>
        <v>220</v>
      </c>
      <c r="K230" s="5">
        <f>IF((ROUND((H222*'COEFICIENTES A ALTERAR'!E21*('SIMULADOR - DADOS'!F22*'SIMULADOR - DADOS'!F24*'SIMULADOR - DADOS'!F25*'SIMULADOR - DADOS'!F26*'SIMULADOR - DADOS'!F27*'SIMULADOR - DADOS'!I24)),-1))&lt;ROUND(('COEFICIENTES A ALTERAR'!E29),-1),ROUND(('COEFICIENTES A ALTERAR'!E29),-1),ROUND((H222*'COEFICIENTES A ALTERAR'!E21*('SIMULADOR - DADOS'!F22*'SIMULADOR - DADOS'!F24*'SIMULADOR - DADOS'!F25*'SIMULADOR - DADOS'!F26*'SIMULADOR - DADOS'!F27*'SIMULADOR - DADOS'!I24)),-1))</f>
        <v>220</v>
      </c>
      <c r="N230" s="68">
        <f>ROUND(((K230/H230)-1),1)</f>
        <v>0</v>
      </c>
      <c r="O230" s="68">
        <f>IF(N230&gt;N228,N230,N228)</f>
        <v>0</v>
      </c>
    </row>
    <row r="231" spans="2:15" s="2" customFormat="1" ht="15" hidden="1" x14ac:dyDescent="0.2">
      <c r="B231" s="2" t="s">
        <v>410</v>
      </c>
      <c r="H231" s="5">
        <f>IF((ROUND((H222*'COEFICIENTES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ALTERAR'!E29),-1),ROUND((H222*'COEFICIENTES A ALTERAR'!E23*(1+('COEFICIENTES A ALTERAR'!E36*0.05))*('SIMULADOR - DADOS'!F22*'SIMULADOR - DADOS'!F24*'SIMULADOR - DADOS'!F25*'SIMULADOR - DADOS'!F26*'SIMULADOR - DADOS'!F27*'SIMULADOR - DADOS'!I24)),-1))</f>
        <v>220</v>
      </c>
      <c r="K231" s="5">
        <f>IF((ROUND((H222*'COEFICIENTES A ALTERAR'!E23*('SIMULADOR - DADOS'!F22*'SIMULADOR - DADOS'!F24*'SIMULADOR - DADOS'!F25*'SIMULADOR - DADOS'!F26*'SIMULADOR - DADOS'!F27*'SIMULADOR - DADOS'!I24)),-1))&lt;ROUND(('COEFICIENTES A ALTERAR'!E29),-1),ROUND(('COEFICIENTES A ALTERAR'!E29),-1),ROUND((H222*'COEFICIENTES A ALTERAR'!E23*('SIMULADOR - DADOS'!F22*'SIMULADOR - DADOS'!F24*'SIMULADOR - DADOS'!F25*'SIMULADOR - DADOS'!F26*'SIMULADOR - DADOS'!F27*'SIMULADOR - DADOS'!I24)),-1))</f>
        <v>220</v>
      </c>
      <c r="N231" s="68">
        <f>ROUND(((K231/H231)-1),1)</f>
        <v>0</v>
      </c>
      <c r="O231" s="68">
        <f>IF(N231&gt;N228,N231,N228)</f>
        <v>0</v>
      </c>
    </row>
    <row r="232" spans="2:15" s="2" customFormat="1" ht="15" hidden="1" x14ac:dyDescent="0.2">
      <c r="B232" s="2" t="s">
        <v>411</v>
      </c>
      <c r="H232" s="5">
        <f>ROUND(('COEFICIENTES A ALTERAR'!E27*('SIMULADOR - DADOS'!F22*'SIMULADOR - DADOS'!F24*'SIMULADOR - DADOS'!F25*'SIMULADOR - DADOS'!F26*'SIMULADOR - DADOS'!F27*'SIMULADOR - DADOS'!I24)),-1)</f>
        <v>0</v>
      </c>
      <c r="K232" s="5"/>
      <c r="N232" s="68"/>
      <c r="O232" s="68"/>
    </row>
    <row r="233" spans="2:15" s="2" customFormat="1" ht="15" hidden="1" x14ac:dyDescent="0.2">
      <c r="B233" s="2" t="s">
        <v>431</v>
      </c>
      <c r="H233" s="5">
        <f>ROUND(('COEFICIENTES A ALTERAR'!E31*(1.5^(O235-1))*(1+('COEFICIENTES A ALTERAR'!E36*0.05))*('SIMULADOR - DADOS'!F22*'SIMULADOR - DADOS'!F24*'SIMULADOR - DADOS'!F25*'SIMULADOR - DADOS'!F26*'SIMULADOR - DADOS'!F27*'SIMULADOR - DADOS'!I24)),-1)</f>
        <v>0</v>
      </c>
      <c r="K233" s="5"/>
      <c r="N233" s="68"/>
      <c r="O233" s="68"/>
    </row>
    <row r="234" spans="2:15" s="2" customFormat="1" ht="15" hidden="1" x14ac:dyDescent="0.2">
      <c r="B234" s="2" t="s">
        <v>432</v>
      </c>
      <c r="H234" s="5">
        <f>IF(H233/2&lt;'COEFICIENTES A ALTERAR'!E31,ROUND(('COEFICIENTES A ALTERAR'!E31),-1),H233/2)</f>
        <v>100</v>
      </c>
      <c r="K234" s="5"/>
      <c r="N234" s="68"/>
      <c r="O234" s="68"/>
    </row>
    <row r="235" spans="2:15" s="2" customFormat="1" ht="15" hidden="1" x14ac:dyDescent="0.2">
      <c r="B235" s="2" t="s">
        <v>433</v>
      </c>
      <c r="H235" s="5">
        <f>ROUND(('COEFICIENTES A ALTERAR'!E33*(1.5^(O235-1))*(1+('COEFICIENTES A ALTERAR'!E36*0.05))*('SIMULADOR - DADOS'!F22*'SIMULADOR - DADOS'!F24*'SIMULADOR - DADOS'!F25*'SIMULADOR - DADOS'!F26*'SIMULADOR - DADOS'!F27*'SIMULADOR - DADOS'!I24)),-1)</f>
        <v>0</v>
      </c>
      <c r="J235" s="126">
        <f>H222*'COEFICIENTES A ALTERAR'!E39</f>
        <v>0</v>
      </c>
      <c r="K235" s="127"/>
      <c r="N235" s="68" t="s">
        <v>444</v>
      </c>
      <c r="O235" s="55">
        <f>IF(J235&lt;'COEFICIENTES A ALTERAR'!E40,1,IF('SIMULADOR - CUSTO PROJETOS'!J235&lt;'COEFICIENTES A ALTERAR'!E41,2,IF('SIMULADOR - CUSTO PROJETOS'!J235&lt;'COEFICIENTES A ALTERAR'!E42,3,IF('SIMULADOR - CUSTO PROJETOS'!J235&lt;'COEFICIENTES A ALTERAR'!E43,4,IF('SIMULADOR - CUSTO PROJETOS'!J235&lt;'COEFICIENTES A ALTERAR'!E44,5,IF('SIMULADOR - CUSTO PROJETOS'!J235&lt;'COEFICIENTES A ALTERAR'!E45,6,IF('SIMULADOR - CUSTO PROJETOS'!J235&lt;'COEFICIENTES A ALTERAR'!E46,7,IF('SIMULADOR - CUSTO PROJETOS'!J235&lt;'COEFICIENTES A ALTERAR'!E47,8,9))))))))</f>
        <v>1</v>
      </c>
    </row>
    <row r="236" spans="2:15" hidden="1" x14ac:dyDescent="0.2"/>
    <row r="237" spans="2:15" hidden="1" x14ac:dyDescent="0.2"/>
    <row r="238" spans="2:15" hidden="1" x14ac:dyDescent="0.2"/>
    <row r="239" spans="2:15" ht="15" hidden="1" x14ac:dyDescent="0.2">
      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      <c r="L239" s="32"/>
    </row>
    <row r="240" spans="2:15" s="2" customFormat="1" ht="15" hidden="1" x14ac:dyDescent="0.2">
      <c r="B240" s="2" t="s">
        <v>378</v>
      </c>
      <c r="H240" s="85"/>
      <c r="K240" s="5"/>
      <c r="N240" s="68"/>
    </row>
    <row r="241" spans="2:15" s="2" customFormat="1" ht="15" hidden="1" x14ac:dyDescent="0.2">
      <c r="B241" s="2" t="s">
        <v>395</v>
      </c>
      <c r="H241" s="5">
        <f>IF((ROUND((H239*'COEFICIENTES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ALTERAR'!E29),-1),ROUND((H239*'COEFICIENTES A ALTERAR'!E7*(1+('COEFICIENTES A ALTERAR'!E36*0.05))*('SIMULADOR - DADOS'!F22*'SIMULADOR - DADOS'!F24*'SIMULADOR - DADOS'!F25*'SIMULADOR - DADOS'!F26*'SIMULADOR - DADOS'!F27*'SIMULADOR - DADOS'!I24)),-1))</f>
        <v>220</v>
      </c>
      <c r="K241" s="5">
        <f>IF((ROUND((H239*'COEFICIENTES A ALTERAR'!E7*('SIMULADOR - DADOS'!F22*'SIMULADOR - DADOS'!F24*'SIMULADOR - DADOS'!F25*'SIMULADOR - DADOS'!F26*'SIMULADOR - DADOS'!F27*'SIMULADOR - DADOS'!I24)),-1))&lt;ROUND(('COEFICIENTES A ALTERAR'!E29),-1),ROUND(('COEFICIENTES A ALTERAR'!E29),-1),ROUND((H239*'COEFICIENTES A ALTERAR'!E7*('SIMULADOR - DADOS'!F22*'SIMULADOR - DADOS'!F24*'SIMULADOR - DADOS'!F25*'SIMULADOR - DADOS'!F26*'SIMULADOR - DADOS'!F27*'SIMULADOR - DADOS'!I24)),-1))</f>
        <v>220</v>
      </c>
      <c r="N241" s="68">
        <f>ROUND(((K241/H241)-1),1)</f>
        <v>0</v>
      </c>
    </row>
    <row r="242" spans="2:15" s="2" customFormat="1" ht="15" hidden="1" x14ac:dyDescent="0.2">
      <c r="B242" s="2" t="s">
        <v>426</v>
      </c>
      <c r="H242" s="5">
        <f>ROUND('COEFICIENTES A ALTERAR'!E29,-1)</f>
        <v>220</v>
      </c>
      <c r="K242" s="5">
        <f>ROUND('COEFICIENTES A ALTERAR'!E29,-1)</f>
        <v>220</v>
      </c>
      <c r="N242" s="68">
        <f>ROUND(((K242/H242)-1),1)</f>
        <v>0</v>
      </c>
      <c r="O242" s="68"/>
    </row>
    <row r="243" spans="2:15" s="2" customFormat="1" ht="15" hidden="1" x14ac:dyDescent="0.2">
      <c r="B243" s="2" t="s">
        <v>405</v>
      </c>
      <c r="H243" s="5">
        <f>IF((ROUND((H239*'COEFICIENTES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ALTERAR'!E29),-1),ROUND((H239*'COEFICIENTES A ALTERAR'!E13*(1+('COEFICIENTES A ALTERAR'!E36*0.05))*('SIMULADOR - DADOS'!F22*'SIMULADOR - DADOS'!F24*'SIMULADOR - DADOS'!F25*'SIMULADOR - DADOS'!F26*'SIMULADOR - DADOS'!F27*'SIMULADOR - DADOS'!I24)),-1))</f>
        <v>220</v>
      </c>
      <c r="K243" s="5">
        <f>IF((ROUND((H239*'COEFICIENTES A ALTERAR'!E13*('SIMULADOR - DADOS'!F22*'SIMULADOR - DADOS'!F24*'SIMULADOR - DADOS'!F25*'SIMULADOR - DADOS'!F26*'SIMULADOR - DADOS'!F27*'SIMULADOR - DADOS'!I24)),-1))&lt;ROUND(('COEFICIENTES A ALTERAR'!E29),-1),ROUND(('COEFICIENTES A ALTERAR'!E29),-1),ROUND((H239*'COEFICIENTES A ALTERAR'!E13*('SIMULADOR - DADOS'!F22*'SIMULADOR - DADOS'!F24*'SIMULADOR - DADOS'!F25*'SIMULADOR - DADOS'!F26*'SIMULADOR - DADOS'!F27*'SIMULADOR - DADOS'!I24)),-1))</f>
        <v>220</v>
      </c>
      <c r="N243" s="68">
        <f>ROUND(((K243/H243)-1),1)</f>
        <v>0</v>
      </c>
      <c r="O243" s="68">
        <f>IF(N243&gt;N242,N243,N242)</f>
        <v>0</v>
      </c>
    </row>
    <row r="244" spans="2:15" s="2" customFormat="1" ht="15" hidden="1" x14ac:dyDescent="0.2">
      <c r="B244" s="2" t="s">
        <v>406</v>
      </c>
      <c r="H244" s="5">
        <f>IF((ROUND((H239*'COEFICIENTES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ALTERAR'!E29),-1),ROUND((H239*'COEFICIENTES A ALTERAR'!E15*(1+('COEFICIENTES A ALTERAR'!E36*0.05))*('SIMULADOR - DADOS'!F22*'SIMULADOR - DADOS'!F24*'SIMULADOR - DADOS'!F25*'SIMULADOR - DADOS'!F26*'SIMULADOR - DADOS'!F27*'SIMULADOR - DADOS'!I24)),-1))</f>
        <v>220</v>
      </c>
      <c r="K244" s="5">
        <f>IF((ROUND((H239*'COEFICIENTES A ALTERAR'!E15*('SIMULADOR - DADOS'!F22*'SIMULADOR - DADOS'!F24*'SIMULADOR - DADOS'!F25*'SIMULADOR - DADOS'!F26*'SIMULADOR - DADOS'!F27*'SIMULADOR - DADOS'!I24)),-1))&lt;ROUND(('COEFICIENTES A ALTERAR'!E29),-1),ROUND(('COEFICIENTES A ALTERAR'!E29),-1),ROUND((H239*'COEFICIENTES A ALTERAR'!E15*('SIMULADOR - DADOS'!F22*'SIMULADOR - DADOS'!F24*'SIMULADOR - DADOS'!F25*'SIMULADOR - DADOS'!F26*'SIMULADOR - DADOS'!F27*'SIMULADOR - DADOS'!I24)),-1))</f>
        <v>220</v>
      </c>
      <c r="N244" s="68">
        <f>ROUND(((K244/H244)-1),1)</f>
        <v>0</v>
      </c>
      <c r="O244" s="68">
        <f>IF(N244&gt;N243,N244,N243)</f>
        <v>0</v>
      </c>
    </row>
    <row r="245" spans="2:15" s="2" customFormat="1" ht="15" hidden="1" x14ac:dyDescent="0.2">
      <c r="B245" s="2" t="s">
        <v>407</v>
      </c>
      <c r="H245" s="5"/>
      <c r="K245" s="5"/>
      <c r="N245" s="68"/>
      <c r="O245" s="68"/>
    </row>
    <row r="246" spans="2:15" s="2" customFormat="1" ht="15" hidden="1" x14ac:dyDescent="0.2">
      <c r="B246" s="2" t="s">
        <v>408</v>
      </c>
      <c r="H246" s="5"/>
      <c r="K246" s="5"/>
      <c r="N246" s="68"/>
      <c r="O246" s="68"/>
    </row>
    <row r="247" spans="2:15" s="2" customFormat="1" ht="15" hidden="1" x14ac:dyDescent="0.2">
      <c r="B247" s="2" t="s">
        <v>409</v>
      </c>
      <c r="H247" s="5">
        <f>IF((ROUND((H239*'COEFICIENTES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ALTERAR'!E29),-1),ROUND((H239*'COEFICIENTES A ALTERAR'!E21*(1+('COEFICIENTES A ALTERAR'!E36*0.05))*('SIMULADOR - DADOS'!F22*'SIMULADOR - DADOS'!F24*'SIMULADOR - DADOS'!F25*'SIMULADOR - DADOS'!F26*'SIMULADOR - DADOS'!F27*'SIMULADOR - DADOS'!I24)),-1))</f>
        <v>220</v>
      </c>
      <c r="K247" s="5">
        <f>IF((ROUND((H239*'COEFICIENTES A ALTERAR'!E21*('SIMULADOR - DADOS'!F22*'SIMULADOR - DADOS'!F24*'SIMULADOR - DADOS'!F25*'SIMULADOR - DADOS'!F26*'SIMULADOR - DADOS'!F27*'SIMULADOR - DADOS'!I24)),-1))&lt;ROUND(('COEFICIENTES A ALTERAR'!E29),-1),ROUND(('COEFICIENTES A ALTERAR'!E29),-1),ROUND((H239*'COEFICIENTES A ALTERAR'!E21*('SIMULADOR - DADOS'!F22*'SIMULADOR - DADOS'!F24*'SIMULADOR - DADOS'!F25*'SIMULADOR - DADOS'!F26*'SIMULADOR - DADOS'!F27*'SIMULADOR - DADOS'!I24)),-1))</f>
        <v>220</v>
      </c>
      <c r="N247" s="68">
        <f>ROUND(((K247/H247)-1),1)</f>
        <v>0</v>
      </c>
      <c r="O247" s="68">
        <f>IF(N247&gt;N244,N247,N244)</f>
        <v>0</v>
      </c>
    </row>
    <row r="248" spans="2:15" s="2" customFormat="1" ht="15" hidden="1" x14ac:dyDescent="0.2">
      <c r="B248" s="2" t="s">
        <v>410</v>
      </c>
      <c r="H248" s="5">
        <f>IF((ROUND((H239*'COEFICIENTES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ALTERAR'!E29),-1),ROUND((H239*'COEFICIENTES A ALTERAR'!E23*(1+('COEFICIENTES A ALTERAR'!E36*0.05))*('SIMULADOR - DADOS'!F22*'SIMULADOR - DADOS'!F24*'SIMULADOR - DADOS'!F25*'SIMULADOR - DADOS'!F26*'SIMULADOR - DADOS'!F27*'SIMULADOR - DADOS'!I24)),-1))</f>
        <v>220</v>
      </c>
      <c r="K248" s="5">
        <f>IF((ROUND((H239*'COEFICIENTES A ALTERAR'!E23*('SIMULADOR - DADOS'!F22*'SIMULADOR - DADOS'!F24*'SIMULADOR - DADOS'!F25*'SIMULADOR - DADOS'!F26*'SIMULADOR - DADOS'!F27*'SIMULADOR - DADOS'!I24)),-1))&lt;ROUND(('COEFICIENTES A ALTERAR'!E29),-1),ROUND(('COEFICIENTES A ALTERAR'!E29),-1),ROUND((H239*'COEFICIENTES A ALTERAR'!E23*('SIMULADOR - DADOS'!F22*'SIMULADOR - DADOS'!F24*'SIMULADOR - DADOS'!F25*'SIMULADOR - DADOS'!F26*'SIMULADOR - DADOS'!F27*'SIMULADOR - DADOS'!I24)),-1))</f>
        <v>220</v>
      </c>
      <c r="N248" s="68">
        <f>ROUND(((K248/H248)-1),1)</f>
        <v>0</v>
      </c>
      <c r="O248" s="68">
        <f>IF(N248&gt;N247,N248,N247)</f>
        <v>0</v>
      </c>
    </row>
    <row r="249" spans="2:15" s="2" customFormat="1" ht="15" hidden="1" x14ac:dyDescent="0.2">
      <c r="B249" s="2" t="s">
        <v>411</v>
      </c>
      <c r="H249" s="5"/>
      <c r="K249" s="5"/>
      <c r="N249" s="68"/>
      <c r="O249" s="68"/>
    </row>
    <row r="250" spans="2:15" s="2" customFormat="1" ht="15" hidden="1" x14ac:dyDescent="0.2">
      <c r="B250" s="2" t="s">
        <v>431</v>
      </c>
      <c r="H250" s="5"/>
      <c r="K250" s="5"/>
      <c r="N250" s="68"/>
      <c r="O250" s="68"/>
    </row>
    <row r="251" spans="2:15" s="2" customFormat="1" ht="15" hidden="1" x14ac:dyDescent="0.2">
      <c r="B251" s="2" t="s">
        <v>432</v>
      </c>
      <c r="H251" s="5"/>
      <c r="K251" s="5"/>
      <c r="N251" s="68"/>
      <c r="O251" s="68"/>
    </row>
    <row r="252" spans="2:15" s="2" customFormat="1" ht="15" hidden="1" x14ac:dyDescent="0.2">
      <c r="B252" s="2" t="s">
        <v>433</v>
      </c>
      <c r="H252" s="5"/>
      <c r="J252" s="126"/>
      <c r="K252" s="127"/>
      <c r="N252" s="68"/>
      <c r="O252" s="55"/>
    </row>
    <row r="253" spans="2:15" hidden="1" x14ac:dyDescent="0.2"/>
    <row r="254" spans="2:15" hidden="1" x14ac:dyDescent="0.2"/>
    <row r="255" spans="2:15" hidden="1" x14ac:dyDescent="0.2"/>
    <row r="256" spans="2:15" ht="15" hidden="1" x14ac:dyDescent="0.2">
      <c r="B256" s="2" t="s">
        <v>459</v>
      </c>
      <c r="H256" s="55">
        <f>(2.25*'SIMULADOR - DADOS'!E15*(0.5^('SIMULADOR - DADOS'!E15/250)))</f>
        <v>0</v>
      </c>
      <c r="I256" s="2" t="s">
        <v>446</v>
      </c>
      <c r="K256" s="32"/>
      <c r="L256" s="32"/>
    </row>
    <row r="257" spans="2:15" s="2" customFormat="1" ht="15" hidden="1" x14ac:dyDescent="0.2">
      <c r="B257" s="2" t="s">
        <v>378</v>
      </c>
      <c r="H257" s="85"/>
      <c r="K257" s="5"/>
      <c r="N257" s="68"/>
    </row>
    <row r="258" spans="2:15" s="2" customFormat="1" ht="15" hidden="1" x14ac:dyDescent="0.2">
      <c r="B258" s="2" t="s">
        <v>395</v>
      </c>
      <c r="H258" s="5">
        <f>IF((ROUND((H256*'COEFICIENTES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ALTERAR'!E29),-1),ROUND((H256*'COEFICIENTES A ALTERAR'!E7*(1+('COEFICIENTES A ALTERAR'!E36*0.05))*('SIMULADOR - DADOS'!F22*'SIMULADOR - DADOS'!F24*'SIMULADOR - DADOS'!F25*'SIMULADOR - DADOS'!F26*'SIMULADOR - DADOS'!F27*'SIMULADOR - DADOS'!I24)),-1))</f>
        <v>220</v>
      </c>
      <c r="K258" s="5">
        <f>IF((ROUND((H256*'COEFICIENTES A ALTERAR'!E7*('SIMULADOR - DADOS'!F22*'SIMULADOR - DADOS'!F24*'SIMULADOR - DADOS'!F25*'SIMULADOR - DADOS'!F26*'SIMULADOR - DADOS'!F27*'SIMULADOR - DADOS'!I24)),-1))&lt;ROUND(('COEFICIENTES A ALTERAR'!E29),-1),ROUND(('COEFICIENTES A ALTERAR'!E29),-1),ROUND((H256*'COEFICIENTES A ALTERAR'!E7*('SIMULADOR - DADOS'!F22*'SIMULADOR - DADOS'!F24*'SIMULADOR - DADOS'!F25*'SIMULADOR - DADOS'!F26*'SIMULADOR - DADOS'!F27*'SIMULADOR - DADOS'!I24)),-1))</f>
        <v>220</v>
      </c>
      <c r="N258" s="68">
        <f>ROUND(((K258/H258)-1),1)</f>
        <v>0</v>
      </c>
    </row>
    <row r="259" spans="2:15" s="2" customFormat="1" ht="15" hidden="1" x14ac:dyDescent="0.2">
      <c r="B259" s="2" t="s">
        <v>426</v>
      </c>
      <c r="H259" s="5"/>
      <c r="K259" s="5"/>
      <c r="N259" s="68"/>
      <c r="O259" s="68"/>
    </row>
    <row r="260" spans="2:15" s="2" customFormat="1" ht="15" hidden="1" x14ac:dyDescent="0.2">
      <c r="B260" s="2" t="s">
        <v>405</v>
      </c>
      <c r="H260" s="5"/>
      <c r="K260" s="5"/>
      <c r="N260" s="68"/>
      <c r="O260" s="68"/>
    </row>
    <row r="261" spans="2:15" s="2" customFormat="1" ht="15" hidden="1" x14ac:dyDescent="0.2">
      <c r="B261" s="2" t="s">
        <v>406</v>
      </c>
      <c r="H261" s="5"/>
      <c r="K261" s="5"/>
      <c r="N261" s="68"/>
      <c r="O261" s="68"/>
    </row>
    <row r="262" spans="2:15" s="2" customFormat="1" ht="15" hidden="1" x14ac:dyDescent="0.2">
      <c r="B262" s="2" t="s">
        <v>407</v>
      </c>
      <c r="H262" s="5"/>
      <c r="K262" s="5"/>
      <c r="N262" s="68"/>
      <c r="O262" s="68"/>
    </row>
    <row r="263" spans="2:15" s="2" customFormat="1" ht="15" hidden="1" x14ac:dyDescent="0.2">
      <c r="B263" s="2" t="s">
        <v>408</v>
      </c>
      <c r="H263" s="5"/>
      <c r="K263" s="5"/>
      <c r="N263" s="68"/>
      <c r="O263" s="68"/>
    </row>
    <row r="264" spans="2:15" s="2" customFormat="1" ht="15" hidden="1" x14ac:dyDescent="0.2">
      <c r="B264" s="2" t="s">
        <v>409</v>
      </c>
      <c r="H264" s="85"/>
      <c r="K264" s="5"/>
      <c r="N264" s="68"/>
      <c r="O264" s="68"/>
    </row>
    <row r="265" spans="2:15" s="2" customFormat="1" ht="15" hidden="1" x14ac:dyDescent="0.2">
      <c r="B265" s="2" t="s">
        <v>410</v>
      </c>
      <c r="H265" s="5"/>
      <c r="K265" s="5"/>
      <c r="N265" s="68"/>
      <c r="O265" s="68"/>
    </row>
    <row r="266" spans="2:15" s="2" customFormat="1" ht="15" hidden="1" x14ac:dyDescent="0.2">
      <c r="B266" s="2" t="s">
        <v>411</v>
      </c>
      <c r="H266" s="5"/>
      <c r="K266" s="5"/>
      <c r="N266" s="68"/>
      <c r="O266" s="68"/>
    </row>
    <row r="267" spans="2:15" s="2" customFormat="1" ht="15" hidden="1" x14ac:dyDescent="0.2">
      <c r="B267" s="2" t="s">
        <v>431</v>
      </c>
      <c r="H267" s="5"/>
      <c r="K267" s="5"/>
      <c r="N267" s="68"/>
      <c r="O267" s="68"/>
    </row>
    <row r="268" spans="2:15" s="2" customFormat="1" ht="15" hidden="1" x14ac:dyDescent="0.2">
      <c r="B268" s="2" t="s">
        <v>432</v>
      </c>
      <c r="H268" s="5"/>
      <c r="K268" s="5"/>
      <c r="N268" s="68"/>
      <c r="O268" s="68"/>
    </row>
    <row r="269" spans="2:15" s="2" customFormat="1" ht="15" hidden="1" x14ac:dyDescent="0.2">
      <c r="B269" s="2" t="s">
        <v>433</v>
      </c>
      <c r="H269" s="5"/>
      <c r="J269" s="126"/>
      <c r="K269" s="127"/>
      <c r="N269" s="68"/>
      <c r="O269" s="55"/>
    </row>
    <row r="270" spans="2:15" hidden="1" x14ac:dyDescent="0.2"/>
    <row r="271" spans="2:15" hidden="1" x14ac:dyDescent="0.2"/>
    <row r="272" spans="2:15" hidden="1" x14ac:dyDescent="0.2"/>
    <row r="273" spans="2:15" ht="15" hidden="1" x14ac:dyDescent="0.2">
      <c r="B273" s="2" t="s">
        <v>460</v>
      </c>
      <c r="H273" s="55">
        <f>(0.6*'SIMULADOR - DADOS'!E15*(0.95^('SIMULADOR - DADOS'!E15/100)))</f>
        <v>0</v>
      </c>
      <c r="I273" s="2" t="s">
        <v>446</v>
      </c>
      <c r="K273" s="32"/>
      <c r="L273" s="32"/>
    </row>
    <row r="274" spans="2:15" ht="15" hidden="1" x14ac:dyDescent="0.2">
      <c r="B274" s="2" t="s">
        <v>451</v>
      </c>
      <c r="H274" s="55">
        <f>(H273*2)+(('SIMULADOR - DADOS'!E18-'SIMULADOR - CUSTO PROJETOS'!H273)*0.2)</f>
        <v>0</v>
      </c>
      <c r="I274" s="2" t="s">
        <v>446</v>
      </c>
      <c r="K274" s="32"/>
      <c r="L274" s="32"/>
    </row>
    <row r="275" spans="2:15" s="2" customFormat="1" ht="15" hidden="1" x14ac:dyDescent="0.2">
      <c r="B275" s="2" t="s">
        <v>378</v>
      </c>
      <c r="H275" s="5">
        <f>IF((ROUND((H274*'COEFICIENTES A ALTERAR'!E7*0.1*('SIMULADOR - DADOS'!F22*'SIMULADOR - DADOS'!F24*'SIMULADOR - DADOS'!F25*'SIMULADOR - DADOS'!F26*'SIMULADOR - DADOS'!F27*'SIMULADOR - DADOS'!I24)),-1))&lt;ROUND(('COEFICIENTES A ALTERAR'!E29),-1),ROUND(('COEFICIENTES A ALTERAR'!E29),-1),ROUND((H274*'COEFICIENTES A ALTERAR'!E7*0.1*('SIMULADOR - DADOS'!F22*'SIMULADOR - DADOS'!F24*'SIMULADOR - DADOS'!F25*'SIMULADOR - DADOS'!F26*'SIMULADOR - DADOS'!F27*'SIMULADOR - DADOS'!I24)),-1))</f>
        <v>220</v>
      </c>
      <c r="K275" s="5"/>
      <c r="N275" s="68"/>
    </row>
    <row r="276" spans="2:15" s="2" customFormat="1" ht="15" hidden="1" x14ac:dyDescent="0.2">
      <c r="B276" s="2" t="s">
        <v>395</v>
      </c>
      <c r="H276" s="5">
        <f>IF((ROUND((H273*'COEFICIENTES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ALTERAR'!E7*(1+('COEFICIENTES A ALTERAR'!E36*0.05))*('SIMULADOR - DADOS'!F22*'SIMULADOR - DADOS'!F24*'SIMULADOR - DADOS'!F25*'SIMULADOR - DADOS'!F26*'SIMULADOR - DADOS'!F27*'SIMULADOR - DADOS'!I24)),-1))</f>
        <v>220</v>
      </c>
      <c r="K276" s="5">
        <f>IF((ROUND((H273*'COEFICIENTES A ALTERAR'!E7*('SIMULADOR - DADOS'!F22*'SIMULADOR - DADOS'!F24*'SIMULADOR - DADOS'!F25*'SIMULADOR - DADOS'!F26*'SIMULADOR - DADOS'!F27*'SIMULADOR - DADOS'!I24)),-1))&lt;ROUND(('COEFICIENTES A ALTERAR'!E29),-1),ROUND(('COEFICIENTES A ALTERAR'!E29),-1),ROUND((H273*'COEFICIENTES A ALTERAR'!E7*('SIMULADOR - DADOS'!F22*'SIMULADOR - DADOS'!F24*'SIMULADOR - DADOS'!F25*'SIMULADOR - DADOS'!F26*'SIMULADOR - DADOS'!F27*'SIMULADOR - DADOS'!I24)),-1))</f>
        <v>220</v>
      </c>
      <c r="N276" s="68">
        <f>ROUND(((K276/H276)-1),1)</f>
        <v>0</v>
      </c>
    </row>
    <row r="277" spans="2:15" s="2" customFormat="1" ht="15" hidden="1" x14ac:dyDescent="0.2">
      <c r="B277" s="2" t="s">
        <v>426</v>
      </c>
      <c r="H277" s="5">
        <f>IF((ROUND((H273*'COEFICIENTES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ALTERAR'!E11*(1+('COEFICIENTES A ALTERAR'!E36*0.05))*('SIMULADOR - DADOS'!F22*'SIMULADOR - DADOS'!F24*'SIMULADOR - DADOS'!F25*'SIMULADOR - DADOS'!F26*'SIMULADOR - DADOS'!F27*'SIMULADOR - DADOS'!I24)),-1))</f>
        <v>220</v>
      </c>
      <c r="K277" s="5">
        <f>IF((ROUND((H273*'COEFICIENTES A ALTERAR'!E11*('SIMULADOR - DADOS'!F22*'SIMULADOR - DADOS'!F24*'SIMULADOR - DADOS'!F25*'SIMULADOR - DADOS'!F26*'SIMULADOR - DADOS'!F27*'SIMULADOR - DADOS'!I24)),-1))&lt;ROUND(('COEFICIENTES A ALTERAR'!E29),-1),ROUND(('COEFICIENTES A ALTERAR'!E29),-1),ROUND((H273*'COEFICIENTES A ALTERAR'!E11*('SIMULADOR - DADOS'!F22*'SIMULADOR - DADOS'!F24*'SIMULADOR - DADOS'!F25*'SIMULADOR - DADOS'!F26*'SIMULADOR - DADOS'!F27*'SIMULADOR - DADOS'!I24)),-1))</f>
        <v>220</v>
      </c>
      <c r="N277" s="68">
        <f>ROUND(((K277/H277)-1),1)</f>
        <v>0</v>
      </c>
      <c r="O277" s="68"/>
    </row>
    <row r="278" spans="2:15" s="2" customFormat="1" ht="15" hidden="1" x14ac:dyDescent="0.2">
      <c r="B278" s="2" t="s">
        <v>405</v>
      </c>
      <c r="H278" s="5">
        <f>IF((ROUND((H273*'COEFICIENTES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ALTERAR'!E13*(1+('COEFICIENTES A ALTERAR'!E36*0.05))*('SIMULADOR - DADOS'!F22*'SIMULADOR - DADOS'!F24*'SIMULADOR - DADOS'!F25*'SIMULADOR - DADOS'!F26*'SIMULADOR - DADOS'!F27*'SIMULADOR - DADOS'!I24)),-1))</f>
        <v>220</v>
      </c>
      <c r="K278" s="5">
        <f>IF((ROUND((H273*'COEFICIENTES A ALTERAR'!E13*('SIMULADOR - DADOS'!F22*'SIMULADOR - DADOS'!F24*'SIMULADOR - DADOS'!F25*'SIMULADOR - DADOS'!F26*'SIMULADOR - DADOS'!F27*'SIMULADOR - DADOS'!I24)),-1))&lt;ROUND(('COEFICIENTES A ALTERAR'!E29),-1),ROUND(('COEFICIENTES A ALTERAR'!E29),-1),ROUND((H273*'COEFICIENTES A ALTERAR'!E13*('SIMULADOR - DADOS'!F22*'SIMULADOR - DADOS'!F24*'SIMULADOR - DADOS'!F25*'SIMULADOR - DADOS'!F26*'SIMULADOR - DADOS'!F27*'SIMULADOR - DADOS'!I24)),-1))</f>
        <v>220</v>
      </c>
      <c r="N278" s="68">
        <f>ROUND(((K278/H278)-1),1)</f>
        <v>0</v>
      </c>
      <c r="O278" s="68">
        <f>IF(N278&gt;N277,N278,N277)</f>
        <v>0</v>
      </c>
    </row>
    <row r="279" spans="2:15" s="2" customFormat="1" ht="15" hidden="1" x14ac:dyDescent="0.2">
      <c r="B279" s="2" t="s">
        <v>406</v>
      </c>
      <c r="H279" s="5">
        <f>IF((ROUND((H273*'COEFICIENTES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ALTERAR'!E15*(1+('COEFICIENTES A ALTERAR'!E36*0.05))*('SIMULADOR - DADOS'!F22*'SIMULADOR - DADOS'!F24*'SIMULADOR - DADOS'!F25*'SIMULADOR - DADOS'!F26*'SIMULADOR - DADOS'!F27*'SIMULADOR - DADOS'!I24)),-1))</f>
        <v>220</v>
      </c>
      <c r="K279" s="5">
        <f>IF((ROUND((H273*'COEFICIENTES A ALTERAR'!E15*('SIMULADOR - DADOS'!F22*'SIMULADOR - DADOS'!F24*'SIMULADOR - DADOS'!F25*'SIMULADOR - DADOS'!F26*'SIMULADOR - DADOS'!F27*'SIMULADOR - DADOS'!I24)),-1))&lt;ROUND(('COEFICIENTES A ALTERAR'!E29),-1),ROUND(('COEFICIENTES A ALTERAR'!E29),-1),ROUND((H273*'COEFICIENTES A ALTERAR'!E15*('SIMULADOR - DADOS'!F22*'SIMULADOR - DADOS'!F24*'SIMULADOR - DADOS'!F25*'SIMULADOR - DADOS'!F26*'SIMULADOR - DADOS'!F27*'SIMULADOR - DADOS'!I24)),-1))</f>
        <v>220</v>
      </c>
      <c r="N279" s="68">
        <f>ROUND(((K279/H279)-1),1)</f>
        <v>0</v>
      </c>
      <c r="O279" s="68">
        <f>IF(N279&gt;N278,N279,N278)</f>
        <v>0</v>
      </c>
    </row>
    <row r="280" spans="2:15" s="2" customFormat="1" ht="15" hidden="1" x14ac:dyDescent="0.2">
      <c r="B280" s="2" t="s">
        <v>407</v>
      </c>
      <c r="H280" s="5">
        <f>IF((ROUND((H273*'COEFICIENTES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ALTERAR'!E17*(1+('COEFICIENTES A ALTERAR'!E36*0.05))*('SIMULADOR - DADOS'!F22*'SIMULADOR - DADOS'!F24*'SIMULADOR - DADOS'!F25*'SIMULADOR - DADOS'!F26*'SIMULADOR - DADOS'!F27*'SIMULADOR - DADOS'!I24)),-1))</f>
        <v>220</v>
      </c>
      <c r="K280" s="5">
        <f>IF((ROUND((H273*'COEFICIENTES A ALTERAR'!E17*('SIMULADOR - DADOS'!F22*'SIMULADOR - DADOS'!F24*'SIMULADOR - DADOS'!F25*'SIMULADOR - DADOS'!F26*'SIMULADOR - DADOS'!F27*'SIMULADOR - DADOS'!I24)),-1))&lt;ROUND(('COEFICIENTES A ALTERAR'!E29),-1),ROUND(('COEFICIENTES A ALTERAR'!E29),-1),ROUND((H273*'COEFICIENTES A ALTERAR'!E17*('SIMULADOR - DADOS'!F22*'SIMULADOR - DADOS'!F24*'SIMULADOR - DADOS'!F25*'SIMULADOR - DADOS'!F26*'SIMULADOR - DADOS'!F27*'SIMULADOR - DADOS'!I24)),-1))</f>
        <v>220</v>
      </c>
      <c r="N280" s="68">
        <f>ROUND(((K280/H280)-1),1)</f>
        <v>0</v>
      </c>
      <c r="O280" s="68">
        <f>IF(N280&gt;N279,N280,N279)</f>
        <v>0</v>
      </c>
    </row>
    <row r="281" spans="2:15" s="2" customFormat="1" ht="15" hidden="1" x14ac:dyDescent="0.2">
      <c r="B281" s="2" t="s">
        <v>408</v>
      </c>
      <c r="H281" s="5"/>
      <c r="K281" s="5"/>
      <c r="N281" s="68"/>
      <c r="O281" s="68"/>
    </row>
    <row r="282" spans="2:15" s="2" customFormat="1" ht="15" hidden="1" x14ac:dyDescent="0.2">
      <c r="B282" s="2" t="s">
        <v>409</v>
      </c>
      <c r="H282" s="85"/>
      <c r="K282" s="5"/>
      <c r="N282" s="68"/>
      <c r="O282" s="68"/>
    </row>
    <row r="283" spans="2:15" s="2" customFormat="1" ht="15" hidden="1" x14ac:dyDescent="0.2">
      <c r="B283" s="2" t="s">
        <v>410</v>
      </c>
      <c r="H283" s="5">
        <f>IF((ROUND((H273*'COEFICIENTES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ALTERAR'!E29),-1),ROUND((H273*'COEFICIENTES A ALTERAR'!E23*(1+('COEFICIENTES A ALTERAR'!E36*0.05))*('SIMULADOR - DADOS'!F22*'SIMULADOR - DADOS'!F24*'SIMULADOR - DADOS'!F25*'SIMULADOR - DADOS'!F26*'SIMULADOR - DADOS'!F27*'SIMULADOR - DADOS'!I24)),-1))</f>
        <v>220</v>
      </c>
      <c r="K283" s="5">
        <f>IF((ROUND((H273*'COEFICIENTES A ALTERAR'!E23*('SIMULADOR - DADOS'!F22*'SIMULADOR - DADOS'!F24*'SIMULADOR - DADOS'!F25*'SIMULADOR - DADOS'!F26*'SIMULADOR - DADOS'!F27*'SIMULADOR - DADOS'!I24)),-1))&lt;ROUND(('COEFICIENTES A ALTERAR'!E29),-1),ROUND(('COEFICIENTES A ALTERAR'!E29),-1),ROUND((H273*'COEFICIENTES A ALTERAR'!E23*('SIMULADOR - DADOS'!F22*'SIMULADOR - DADOS'!F24*'SIMULADOR - DADOS'!F25*'SIMULADOR - DADOS'!F26*'SIMULADOR - DADOS'!F27*'SIMULADOR - DADOS'!I24)),-1))</f>
        <v>220</v>
      </c>
      <c r="N283" s="68">
        <f>ROUND(((K283/H283)-1),1)</f>
        <v>0</v>
      </c>
      <c r="O283" s="68">
        <f>IF(N283&gt;N280,N283,N280)</f>
        <v>0</v>
      </c>
    </row>
    <row r="284" spans="2:15" s="2" customFormat="1" ht="15" hidden="1" x14ac:dyDescent="0.2">
      <c r="B284" s="2" t="s">
        <v>411</v>
      </c>
      <c r="H284" s="5">
        <f>ROUND(('COEFICIENTES A ALTERAR'!E27*(1+('COEFICIENTES A ALTERAR'!E36*0.05))*('SIMULADOR - DADOS'!F22*'SIMULADOR - DADOS'!F24*'SIMULADOR - DADOS'!F25*'SIMULADOR - DADOS'!F26*'SIMULADOR - DADOS'!F27*'SIMULADOR - DADOS'!I24)),-1)</f>
        <v>0</v>
      </c>
      <c r="K284" s="5"/>
      <c r="N284" s="68"/>
      <c r="O284" s="68"/>
    </row>
    <row r="285" spans="2:15" s="2" customFormat="1" ht="15" hidden="1" x14ac:dyDescent="0.2">
      <c r="B285" s="2" t="s">
        <v>431</v>
      </c>
      <c r="H285" s="5">
        <f>ROUND(('COEFICIENTES A ALTERAR'!E31*(1.5^(O287-1))*(1+('COEFICIENTES A ALTERAR'!E36*0.05))*('SIMULADOR - DADOS'!F22*'SIMULADOR - DADOS'!F24*'SIMULADOR - DADOS'!F25*'SIMULADOR - DADOS'!F26*'SIMULADOR - DADOS'!F27*'SIMULADOR - DADOS'!I24)),-1)</f>
        <v>0</v>
      </c>
      <c r="K285" s="5"/>
      <c r="N285" s="68"/>
      <c r="O285" s="68"/>
    </row>
    <row r="286" spans="2:15" s="2" customFormat="1" ht="15" hidden="1" x14ac:dyDescent="0.2">
      <c r="B286" s="2" t="s">
        <v>432</v>
      </c>
      <c r="H286" s="5">
        <f>IF(H285/2&lt;'COEFICIENTES A ALTERAR'!E31,ROUND(('COEFICIENTES A ALTERAR'!E31),-1),H285/2)</f>
        <v>100</v>
      </c>
      <c r="K286" s="5"/>
      <c r="N286" s="68"/>
      <c r="O286" s="68"/>
    </row>
    <row r="287" spans="2:15" s="2" customFormat="1" ht="15" hidden="1" x14ac:dyDescent="0.2">
      <c r="B287" s="2" t="s">
        <v>433</v>
      </c>
      <c r="H287" s="5">
        <f>ROUND(('COEFICIENTES A ALTERAR'!E33*(1.5^(O287-1))*(1+('COEFICIENTES A ALTERAR'!E36*0.05))*('SIMULADOR - DADOS'!F22*'SIMULADOR - DADOS'!F24*'SIMULADOR - DADOS'!F25*'SIMULADOR - DADOS'!F26*'SIMULADOR - DADOS'!F27*'SIMULADOR - DADOS'!I24)),-1)</f>
        <v>0</v>
      </c>
      <c r="J287" s="126">
        <f>H273*'COEFICIENTES A ALTERAR'!E39*0.3</f>
        <v>0</v>
      </c>
      <c r="K287" s="127"/>
      <c r="N287" s="68" t="s">
        <v>444</v>
      </c>
      <c r="O287" s="55">
        <f>IF(J287&lt;'COEFICIENTES A ALTERAR'!E40,1,IF('SIMULADOR - CUSTO PROJETOS'!J287&lt;'COEFICIENTES A ALTERAR'!E41,2,IF('SIMULADOR - CUSTO PROJETOS'!J287&lt;'COEFICIENTES A ALTERAR'!E42,3,IF('SIMULADOR - CUSTO PROJETOS'!J287&lt;'COEFICIENTES A ALTERAR'!E43,4,IF('SIMULADOR - CUSTO PROJETOS'!J287&lt;'COEFICIENTES A ALTERAR'!E44,5,IF('SIMULADOR - CUSTO PROJETOS'!J287&lt;'COEFICIENTES A ALTERAR'!E45,6,IF('SIMULADOR - CUSTO PROJETOS'!J287&lt;'COEFICIENTES A ALTERAR'!E46,7,IF('SIMULADOR - CUSTO PROJETOS'!J287&lt;'COEFICIENTES A ALTERAR'!E47,8,9))))))))</f>
        <v>1</v>
      </c>
    </row>
    <row r="288" spans="2:15" hidden="1" x14ac:dyDescent="0.2"/>
    <row r="289" spans="2:15" hidden="1" x14ac:dyDescent="0.2"/>
    <row r="290" spans="2:15" hidden="1" x14ac:dyDescent="0.2"/>
    <row r="291" spans="2:15" ht="15" hidden="1" x14ac:dyDescent="0.2">
      <c r="B291" s="2" t="s">
        <v>461</v>
      </c>
      <c r="H291" s="55">
        <f>(0.6*'SIMULADOR - DADOS'!E15*(0.95^('SIMULADOR - DADOS'!E15/100)))</f>
        <v>0</v>
      </c>
      <c r="I291" s="2" t="s">
        <v>446</v>
      </c>
      <c r="K291" s="32"/>
      <c r="L291" s="32"/>
    </row>
    <row r="292" spans="2:15" s="2" customFormat="1" ht="15" hidden="1" x14ac:dyDescent="0.2">
      <c r="B292" s="2" t="s">
        <v>378</v>
      </c>
      <c r="H292" s="85"/>
      <c r="K292" s="5"/>
      <c r="N292" s="68"/>
    </row>
    <row r="293" spans="2:15" s="2" customFormat="1" ht="15" hidden="1" x14ac:dyDescent="0.2">
      <c r="B293" s="2" t="s">
        <v>395</v>
      </c>
      <c r="H293" s="5">
        <f>IF((ROUND((H291*'COEFICIENTES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ALTERAR'!E7*(1+('COEFICIENTES A ALTERAR'!E36*0.05))*('SIMULADOR - DADOS'!F22*'SIMULADOR - DADOS'!F24*'SIMULADOR - DADOS'!F25*'SIMULADOR - DADOS'!F26*'SIMULADOR - DADOS'!F27*'SIMULADOR - DADOS'!I24)),-1))</f>
        <v>220</v>
      </c>
      <c r="K293" s="5">
        <f>IF((ROUND((H291*'COEFICIENTES A ALTERAR'!E7*('SIMULADOR - DADOS'!F22*'SIMULADOR - DADOS'!F24*'SIMULADOR - DADOS'!F25*'SIMULADOR - DADOS'!F26*'SIMULADOR - DADOS'!F27*'SIMULADOR - DADOS'!I24)),-1))&lt;ROUND(('COEFICIENTES A ALTERAR'!E29),-1),ROUND(('COEFICIENTES A ALTERAR'!E29),-1),ROUND((H291*'COEFICIENTES A ALTERAR'!E7*('SIMULADOR - DADOS'!F22*'SIMULADOR - DADOS'!F24*'SIMULADOR - DADOS'!F25*'SIMULADOR - DADOS'!F26*'SIMULADOR - DADOS'!F27*'SIMULADOR - DADOS'!I24)),-1))</f>
        <v>220</v>
      </c>
      <c r="N293" s="68">
        <f>ROUND(((K293/H293)-1),1)</f>
        <v>0</v>
      </c>
    </row>
    <row r="294" spans="2:15" s="2" customFormat="1" ht="15" hidden="1" x14ac:dyDescent="0.2">
      <c r="B294" s="2" t="s">
        <v>426</v>
      </c>
      <c r="H294" s="5">
        <f>IF((ROUND((H291*'COEFICIENTES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ALTERAR'!E11*(1+('COEFICIENTES A ALTERAR'!E36*0.05))*('SIMULADOR - DADOS'!F22*'SIMULADOR - DADOS'!F24*'SIMULADOR - DADOS'!F25*'SIMULADOR - DADOS'!F26*'SIMULADOR - DADOS'!F27*'SIMULADOR - DADOS'!I24)),-1))</f>
        <v>220</v>
      </c>
      <c r="K294" s="5">
        <f>IF((ROUND((H291*'COEFICIENTES A ALTERAR'!E11*('SIMULADOR - DADOS'!F22*'SIMULADOR - DADOS'!F24*'SIMULADOR - DADOS'!F25*'SIMULADOR - DADOS'!F26*'SIMULADOR - DADOS'!F27*'SIMULADOR - DADOS'!I24)),-1))&lt;ROUND(('COEFICIENTES A ALTERAR'!E29),-1),ROUND(('COEFICIENTES A ALTERAR'!E29),-1),ROUND((H291*'COEFICIENTES A ALTERAR'!E11*('SIMULADOR - DADOS'!F22*'SIMULADOR - DADOS'!F24*'SIMULADOR - DADOS'!F25*'SIMULADOR - DADOS'!F26*'SIMULADOR - DADOS'!F27*'SIMULADOR - DADOS'!I24)),-1))</f>
        <v>220</v>
      </c>
      <c r="N294" s="68">
        <f>ROUND(((K294/H294)-1),1)</f>
        <v>0</v>
      </c>
      <c r="O294" s="68"/>
    </row>
    <row r="295" spans="2:15" s="2" customFormat="1" ht="15" hidden="1" x14ac:dyDescent="0.2">
      <c r="B295" s="2" t="s">
        <v>405</v>
      </c>
      <c r="H295" s="5">
        <f>IF((ROUND((H291*'COEFICIENTES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ALTERAR'!E13*(1+('COEFICIENTES A ALTERAR'!E36*0.05))*('SIMULADOR - DADOS'!F22*'SIMULADOR - DADOS'!F24*'SIMULADOR - DADOS'!F25*'SIMULADOR - DADOS'!F26*'SIMULADOR - DADOS'!F27*'SIMULADOR - DADOS'!I24)),-1))</f>
        <v>220</v>
      </c>
      <c r="K295" s="5">
        <f>IF((ROUND((H291*'COEFICIENTES A ALTERAR'!E13*('SIMULADOR - DADOS'!F22*'SIMULADOR - DADOS'!F24*'SIMULADOR - DADOS'!F25*'SIMULADOR - DADOS'!F26*'SIMULADOR - DADOS'!F27*'SIMULADOR - DADOS'!I24)),-1))&lt;ROUND(('COEFICIENTES A ALTERAR'!E29),-1),ROUND(('COEFICIENTES A ALTERAR'!E29),-1),ROUND((H291*'COEFICIENTES A ALTERAR'!E13*('SIMULADOR - DADOS'!F22*'SIMULADOR - DADOS'!F24*'SIMULADOR - DADOS'!F25*'SIMULADOR - DADOS'!F26*'SIMULADOR - DADOS'!F27*'SIMULADOR - DADOS'!I24)),-1))</f>
        <v>220</v>
      </c>
      <c r="N295" s="68">
        <f>ROUND(((K295/H295)-1),1)</f>
        <v>0</v>
      </c>
      <c r="O295" s="68">
        <f>IF(N295&gt;N294,N295,N294)</f>
        <v>0</v>
      </c>
    </row>
    <row r="296" spans="2:15" s="2" customFormat="1" ht="15" hidden="1" x14ac:dyDescent="0.2">
      <c r="B296" s="2" t="s">
        <v>406</v>
      </c>
      <c r="H296" s="5">
        <f>IF((ROUND((H291*'COEFICIENTES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ALTERAR'!E15*(1+('COEFICIENTES A ALTERAR'!E36*0.05))*('SIMULADOR - DADOS'!F22*'SIMULADOR - DADOS'!F24*'SIMULADOR - DADOS'!F25*'SIMULADOR - DADOS'!F26*'SIMULADOR - DADOS'!F27*'SIMULADOR - DADOS'!I24)),-1))</f>
        <v>220</v>
      </c>
      <c r="K296" s="5">
        <f>IF((ROUND((H291*'COEFICIENTES A ALTERAR'!E15*('SIMULADOR - DADOS'!F22*'SIMULADOR - DADOS'!F24*'SIMULADOR - DADOS'!F25*'SIMULADOR - DADOS'!F26*'SIMULADOR - DADOS'!F27*'SIMULADOR - DADOS'!I24)),-1))&lt;ROUND(('COEFICIENTES A ALTERAR'!E29),-1),ROUND(('COEFICIENTES A ALTERAR'!E29),-1),ROUND((H291*'COEFICIENTES A ALTERAR'!E15*('SIMULADOR - DADOS'!F22*'SIMULADOR - DADOS'!F24*'SIMULADOR - DADOS'!F25*'SIMULADOR - DADOS'!F26*'SIMULADOR - DADOS'!F27*'SIMULADOR - DADOS'!I24)),-1))</f>
        <v>220</v>
      </c>
      <c r="N296" s="68">
        <f>ROUND(((K296/H296)-1),1)</f>
        <v>0</v>
      </c>
      <c r="O296" s="68">
        <f>IF(N296&gt;N295,N296,N295)</f>
        <v>0</v>
      </c>
    </row>
    <row r="297" spans="2:15" s="2" customFormat="1" ht="15" hidden="1" x14ac:dyDescent="0.2">
      <c r="B297" s="2" t="s">
        <v>407</v>
      </c>
      <c r="H297" s="5">
        <f>IF((ROUND((H291*'COEFICIENTES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ALTERAR'!E17*(1+('COEFICIENTES A ALTERAR'!E36*0.05))*('SIMULADOR - DADOS'!F22*'SIMULADOR - DADOS'!F24*'SIMULADOR - DADOS'!F25*'SIMULADOR - DADOS'!F26*'SIMULADOR - DADOS'!F27*'SIMULADOR - DADOS'!I24)),-1))</f>
        <v>220</v>
      </c>
      <c r="K297" s="5">
        <f>IF((ROUND((H291*'COEFICIENTES A ALTERAR'!E17*('SIMULADOR - DADOS'!F22*'SIMULADOR - DADOS'!F24*'SIMULADOR - DADOS'!F25*'SIMULADOR - DADOS'!F26*'SIMULADOR - DADOS'!F27*'SIMULADOR - DADOS'!I24)),-1))&lt;ROUND(('COEFICIENTES A ALTERAR'!E29),-1),ROUND(('COEFICIENTES A ALTERAR'!E29),-1),ROUND((H291*'COEFICIENTES A ALTERAR'!E17*('SIMULADOR - DADOS'!F22*'SIMULADOR - DADOS'!F24*'SIMULADOR - DADOS'!F25*'SIMULADOR - DADOS'!F26*'SIMULADOR - DADOS'!F27*'SIMULADOR - DADOS'!I24)),-1))</f>
        <v>220</v>
      </c>
      <c r="N297" s="68">
        <f>ROUND(((K297/H297)-1),1)</f>
        <v>0</v>
      </c>
      <c r="O297" s="68">
        <f>IF(N297&gt;N296,N297,N296)</f>
        <v>0</v>
      </c>
    </row>
    <row r="298" spans="2:15" s="2" customFormat="1" ht="15" hidden="1" x14ac:dyDescent="0.2">
      <c r="B298" s="2" t="s">
        <v>408</v>
      </c>
      <c r="H298" s="5"/>
      <c r="K298" s="5"/>
      <c r="N298" s="68"/>
      <c r="O298" s="68"/>
    </row>
    <row r="299" spans="2:15" s="2" customFormat="1" ht="15" hidden="1" x14ac:dyDescent="0.2">
      <c r="B299" s="2" t="s">
        <v>409</v>
      </c>
      <c r="H299" s="5"/>
      <c r="K299" s="5"/>
      <c r="N299" s="68"/>
      <c r="O299" s="68"/>
    </row>
    <row r="300" spans="2:15" s="2" customFormat="1" ht="15" hidden="1" x14ac:dyDescent="0.2">
      <c r="B300" s="2" t="s">
        <v>410</v>
      </c>
      <c r="H300" s="5">
        <f>IF((ROUND((H291*'COEFICIENTES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ALTERAR'!E29),-1),ROUND((H291*'COEFICIENTES A ALTERAR'!E23*(1+('COEFICIENTES A ALTERAR'!E36*0.05))*('SIMULADOR - DADOS'!F22*'SIMULADOR - DADOS'!F24*'SIMULADOR - DADOS'!F25*'SIMULADOR - DADOS'!F26*'SIMULADOR - DADOS'!F27*'SIMULADOR - DADOS'!I24)),-1))</f>
        <v>220</v>
      </c>
      <c r="K300" s="5">
        <f>IF((ROUND((H291*'COEFICIENTES A ALTERAR'!E23*('SIMULADOR - DADOS'!F22*'SIMULADOR - DADOS'!F24*'SIMULADOR - DADOS'!F25*'SIMULADOR - DADOS'!F26*'SIMULADOR - DADOS'!F27*'SIMULADOR - DADOS'!I24)),-1))&lt;ROUND(('COEFICIENTES A ALTERAR'!E29),-1),ROUND(('COEFICIENTES A ALTERAR'!E29),-1),ROUND((H291*'COEFICIENTES A ALTERAR'!E23*('SIMULADOR - DADOS'!F22*'SIMULADOR - DADOS'!F24*'SIMULADOR - DADOS'!F25*'SIMULADOR - DADOS'!F26*'SIMULADOR - DADOS'!F27*'SIMULADOR - DADOS'!I24)),-1))</f>
        <v>220</v>
      </c>
      <c r="N300" s="68">
        <f>ROUND(((K300/H300)-1),1)</f>
        <v>0</v>
      </c>
      <c r="O300" s="68">
        <f>IF(N300&gt;N297,N300,N297)</f>
        <v>0</v>
      </c>
    </row>
    <row r="301" spans="2:15" s="2" customFormat="1" ht="15" hidden="1" x14ac:dyDescent="0.2">
      <c r="B301" s="2" t="s">
        <v>411</v>
      </c>
      <c r="H301" s="5">
        <f>ROUND(('COEFICIENTES A ALTERAR'!E27*(1+('COEFICIENTES A ALTERAR'!E36*0.05))*('SIMULADOR - DADOS'!F22*'SIMULADOR - DADOS'!F24*'SIMULADOR - DADOS'!F25*'SIMULADOR - DADOS'!F26*'SIMULADOR - DADOS'!F27*'SIMULADOR - DADOS'!I24)),-1)</f>
        <v>0</v>
      </c>
      <c r="K301" s="5"/>
      <c r="N301" s="68"/>
      <c r="O301" s="68"/>
    </row>
    <row r="302" spans="2:15" s="2" customFormat="1" ht="15" hidden="1" x14ac:dyDescent="0.2">
      <c r="B302" s="2" t="s">
        <v>431</v>
      </c>
      <c r="H302" s="5">
        <f>ROUND(('COEFICIENTES A ALTERAR'!E31*(1.5^(O304-1))*(1+('COEFICIENTES A ALTERAR'!E36*0.05))*('SIMULADOR - DADOS'!F22*'SIMULADOR - DADOS'!F24*'SIMULADOR - DADOS'!F25*'SIMULADOR - DADOS'!F26*'SIMULADOR - DADOS'!F27*'SIMULADOR - DADOS'!I24)),-1)</f>
        <v>0</v>
      </c>
      <c r="K302" s="5"/>
      <c r="N302" s="68"/>
      <c r="O302" s="68"/>
    </row>
    <row r="303" spans="2:15" s="2" customFormat="1" ht="15" hidden="1" x14ac:dyDescent="0.2">
      <c r="B303" s="2" t="s">
        <v>432</v>
      </c>
      <c r="H303" s="5">
        <f>IF(H302/2&lt;'COEFICIENTES A ALTERAR'!E31,ROUND(('COEFICIENTES A ALTERAR'!E31),-1),H302/2)</f>
        <v>100</v>
      </c>
      <c r="K303" s="5"/>
      <c r="N303" s="68"/>
      <c r="O303" s="68"/>
    </row>
    <row r="304" spans="2:15" s="2" customFormat="1" ht="15" hidden="1" x14ac:dyDescent="0.2">
      <c r="B304" s="2" t="s">
        <v>433</v>
      </c>
      <c r="H304" s="5">
        <f>ROUND(('COEFICIENTES A ALTERAR'!E33*(1.5^(O304-1))*(1+('COEFICIENTES A ALTERAR'!E36*0.05))*('SIMULADOR - DADOS'!F22*'SIMULADOR - DADOS'!F24*'SIMULADOR - DADOS'!F25*'SIMULADOR - DADOS'!F26*'SIMULADOR - DADOS'!F27*'SIMULADOR - DADOS'!I24)),-1)</f>
        <v>0</v>
      </c>
      <c r="J304" s="126">
        <f>H291*'COEFICIENTES A ALTERAR'!E39*0.3</f>
        <v>0</v>
      </c>
      <c r="K304" s="127"/>
      <c r="N304" s="68" t="s">
        <v>444</v>
      </c>
      <c r="O304" s="55">
        <f>IF(J304&lt;'COEFICIENTES A ALTERAR'!E40,1,IF('SIMULADOR - CUSTO PROJETOS'!J304&lt;'COEFICIENTES A ALTERAR'!E41,2,IF('SIMULADOR - CUSTO PROJETOS'!J304&lt;'COEFICIENTES A ALTERAR'!E42,3,IF('SIMULADOR - CUSTO PROJETOS'!J304&lt;'COEFICIENTES A ALTERAR'!E43,4,IF('SIMULADOR - CUSTO PROJETOS'!J304&lt;'COEFICIENTES A ALTERAR'!E44,5,IF('SIMULADOR - CUSTO PROJETOS'!J304&lt;'COEFICIENTES A ALTERAR'!E45,6,IF('SIMULADOR - CUSTO PROJETOS'!J304&lt;'COEFICIENTES A ALTERAR'!E46,7,IF('SIMULADOR - CUSTO PROJETOS'!J304&lt;'COEFICIENTES A ALTERAR'!E47,8,9))))))))</f>
        <v>1</v>
      </c>
    </row>
    <row r="305" spans="2:15" hidden="1" x14ac:dyDescent="0.2"/>
    <row r="306" spans="2:15" hidden="1" x14ac:dyDescent="0.2"/>
    <row r="307" spans="2:15" hidden="1" x14ac:dyDescent="0.2"/>
    <row r="308" spans="2:15" ht="15" hidden="1" x14ac:dyDescent="0.2">
      <c r="B308" s="2" t="s">
        <v>462</v>
      </c>
      <c r="H308" s="55">
        <f>(0.75*(0.6*'SIMULADOR - DADOS'!E15*(0.95^('SIMULADOR - DADOS'!E15/100))))+(2*'SIMULADOR - DADOS'!E16)</f>
        <v>0</v>
      </c>
      <c r="I308" s="2" t="s">
        <v>446</v>
      </c>
      <c r="K308" s="32"/>
      <c r="L308" s="32"/>
    </row>
    <row r="309" spans="2:15" ht="15" hidden="1" x14ac:dyDescent="0.2">
      <c r="B309" s="2" t="s">
        <v>451</v>
      </c>
      <c r="H309" s="55">
        <f>(H308*2)+(('SIMULADOR - DADOS'!E18-'SIMULADOR - CUSTO PROJETOS'!H308)*0.2)</f>
        <v>0</v>
      </c>
      <c r="I309" s="2" t="s">
        <v>446</v>
      </c>
      <c r="K309" s="32"/>
      <c r="L309" s="32"/>
    </row>
    <row r="310" spans="2:15" s="2" customFormat="1" ht="15" hidden="1" x14ac:dyDescent="0.2">
      <c r="B310" s="2" t="s">
        <v>378</v>
      </c>
      <c r="H310" s="5">
        <f>IF((ROUND((H309*'COEFICIENTES A ALTERAR'!E7*0.1*('SIMULADOR - DADOS'!F22*'SIMULADOR - DADOS'!F24*'SIMULADOR - DADOS'!F25*'SIMULADOR - DADOS'!F26*'SIMULADOR - DADOS'!F27*'SIMULADOR - DADOS'!I24)),-1))&lt;ROUND(('COEFICIENTES A ALTERAR'!E29),-1),ROUND(('COEFICIENTES A ALTERAR'!E29),-1),ROUND((H309*'COEFICIENTES A ALTERAR'!E7*0.1*('SIMULADOR - DADOS'!F22*'SIMULADOR - DADOS'!F24*'SIMULADOR - DADOS'!F25*'SIMULADOR - DADOS'!F26*'SIMULADOR - DADOS'!F27*'SIMULADOR - DADOS'!I24)),-1))</f>
        <v>220</v>
      </c>
      <c r="K310" s="5"/>
      <c r="N310" s="68"/>
    </row>
    <row r="311" spans="2:15" s="2" customFormat="1" ht="15" hidden="1" x14ac:dyDescent="0.2">
      <c r="B311" s="2" t="s">
        <v>395</v>
      </c>
      <c r="H311" s="5">
        <f>IF((ROUND((H308*'COEFICIENTES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ALTERAR'!E7*(1+('COEFICIENTES A ALTERAR'!E36*0.05))*('SIMULADOR - DADOS'!F22*'SIMULADOR - DADOS'!F24*'SIMULADOR - DADOS'!F25*'SIMULADOR - DADOS'!F26*'SIMULADOR - DADOS'!F27*'SIMULADOR - DADOS'!I24)),-1))</f>
        <v>220</v>
      </c>
      <c r="K311" s="5">
        <f>IF((ROUND((H308*'COEFICIENTES A ALTERAR'!E7*('SIMULADOR - DADOS'!F22*'SIMULADOR - DADOS'!F24*'SIMULADOR - DADOS'!F25*'SIMULADOR - DADOS'!F26*'SIMULADOR - DADOS'!F27*'SIMULADOR - DADOS'!I24)),-1))&lt;ROUND(('COEFICIENTES A ALTERAR'!E29),-1),ROUND(('COEFICIENTES A ALTERAR'!E29),-1),ROUND((H308*'COEFICIENTES A ALTERAR'!E7*('SIMULADOR - DADOS'!F22*'SIMULADOR - DADOS'!F24*'SIMULADOR - DADOS'!F25*'SIMULADOR - DADOS'!F26*'SIMULADOR - DADOS'!F27*'SIMULADOR - DADOS'!I24)),-1))</f>
        <v>220</v>
      </c>
      <c r="N311" s="68">
        <f>ROUND(((K311/H311)-1),1)</f>
        <v>0</v>
      </c>
    </row>
    <row r="312" spans="2:15" s="2" customFormat="1" ht="15" hidden="1" x14ac:dyDescent="0.2">
      <c r="B312" s="2" t="s">
        <v>426</v>
      </c>
      <c r="H312" s="5">
        <f>IF((ROUND((H308*'COEFICIENTES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ALTERAR'!E11*(1+('COEFICIENTES A ALTERAR'!E36*0.05))*('SIMULADOR - DADOS'!F22*'SIMULADOR - DADOS'!F24*'SIMULADOR - DADOS'!F25*'SIMULADOR - DADOS'!F26*'SIMULADOR - DADOS'!F27*'SIMULADOR - DADOS'!I24)),-1))</f>
        <v>220</v>
      </c>
      <c r="K312" s="5">
        <f>IF((ROUND((H308*'COEFICIENTES A ALTERAR'!E11*('SIMULADOR - DADOS'!F22*'SIMULADOR - DADOS'!F24*'SIMULADOR - DADOS'!F25*'SIMULADOR - DADOS'!F26*'SIMULADOR - DADOS'!F27*'SIMULADOR - DADOS'!I24)),-1))&lt;ROUND(('COEFICIENTES A ALTERAR'!E29),-1),ROUND(('COEFICIENTES A ALTERAR'!E29),-1),ROUND((H308*'COEFICIENTES A ALTERAR'!E11*('SIMULADOR - DADOS'!F22*'SIMULADOR - DADOS'!F24*'SIMULADOR - DADOS'!F25*'SIMULADOR - DADOS'!F26*'SIMULADOR - DADOS'!F27*'SIMULADOR - DADOS'!I24)),-1))</f>
        <v>220</v>
      </c>
      <c r="N312" s="68">
        <f>ROUND(((K312/H312)-1),1)</f>
        <v>0</v>
      </c>
      <c r="O312" s="68"/>
    </row>
    <row r="313" spans="2:15" s="2" customFormat="1" ht="15" hidden="1" x14ac:dyDescent="0.2">
      <c r="B313" s="2" t="s">
        <v>405</v>
      </c>
      <c r="H313" s="5">
        <f>IF((ROUND((H308*'COEFICIENTES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ALTERAR'!E13*(1+('COEFICIENTES A ALTERAR'!E36*0.05))*('SIMULADOR - DADOS'!F22*'SIMULADOR - DADOS'!F24*'SIMULADOR - DADOS'!F25*'SIMULADOR - DADOS'!F26*'SIMULADOR - DADOS'!F27*'SIMULADOR - DADOS'!I24)),-1))</f>
        <v>220</v>
      </c>
      <c r="K313" s="5">
        <f>IF((ROUND((H308*'COEFICIENTES A ALTERAR'!E13*('SIMULADOR - DADOS'!F22*'SIMULADOR - DADOS'!F24*'SIMULADOR - DADOS'!F25*'SIMULADOR - DADOS'!F26*'SIMULADOR - DADOS'!F27*'SIMULADOR - DADOS'!I24)),-1))&lt;ROUND(('COEFICIENTES A ALTERAR'!E29),-1),ROUND(('COEFICIENTES A ALTERAR'!E29),-1),ROUND((H308*'COEFICIENTES A ALTERAR'!E13*('SIMULADOR - DADOS'!F22*'SIMULADOR - DADOS'!F24*'SIMULADOR - DADOS'!F25*'SIMULADOR - DADOS'!F26*'SIMULADOR - DADOS'!F27*'SIMULADOR - DADOS'!I24)),-1))</f>
        <v>220</v>
      </c>
      <c r="N313" s="68">
        <f>ROUND(((K313/H313)-1),1)</f>
        <v>0</v>
      </c>
      <c r="O313" s="68">
        <f>IF(N313&gt;N312,N313,N312)</f>
        <v>0</v>
      </c>
    </row>
    <row r="314" spans="2:15" s="2" customFormat="1" ht="15" hidden="1" x14ac:dyDescent="0.2">
      <c r="B314" s="2" t="s">
        <v>406</v>
      </c>
      <c r="H314" s="5">
        <f>IF((ROUND((H308*'COEFICIENTES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ALTERAR'!E15*(1+('COEFICIENTES A ALTERAR'!E36*0.05))*('SIMULADOR - DADOS'!F22*'SIMULADOR - DADOS'!F24*'SIMULADOR - DADOS'!F25*'SIMULADOR - DADOS'!F26*'SIMULADOR - DADOS'!F27*'SIMULADOR - DADOS'!I24)),-1))</f>
        <v>220</v>
      </c>
      <c r="K314" s="5">
        <f>IF((ROUND((H308*'COEFICIENTES A ALTERAR'!E15*('SIMULADOR - DADOS'!F22*'SIMULADOR - DADOS'!F24*'SIMULADOR - DADOS'!F25*'SIMULADOR - DADOS'!F26*'SIMULADOR - DADOS'!F27*'SIMULADOR - DADOS'!I24)),-1))&lt;ROUND(('COEFICIENTES A ALTERAR'!E29),-1),ROUND(('COEFICIENTES A ALTERAR'!E29),-1),ROUND((H308*'COEFICIENTES A ALTERAR'!E15*('SIMULADOR - DADOS'!F22*'SIMULADOR - DADOS'!F24*'SIMULADOR - DADOS'!F25*'SIMULADOR - DADOS'!F26*'SIMULADOR - DADOS'!F27*'SIMULADOR - DADOS'!I24)),-1))</f>
        <v>220</v>
      </c>
      <c r="N314" s="68">
        <f>ROUND(((K314/H314)-1),1)</f>
        <v>0</v>
      </c>
      <c r="O314" s="68">
        <f>IF(N314&gt;N313,N314,N313)</f>
        <v>0</v>
      </c>
    </row>
    <row r="315" spans="2:15" s="2" customFormat="1" ht="15" hidden="1" x14ac:dyDescent="0.2">
      <c r="B315" s="2" t="s">
        <v>407</v>
      </c>
      <c r="H315" s="5">
        <f>IF((ROUND((H308*'COEFICIENTES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ALTERAR'!E17*(1+('COEFICIENTES A ALTERAR'!E36*0.05))*('SIMULADOR - DADOS'!F22*'SIMULADOR - DADOS'!F24*'SIMULADOR - DADOS'!F25*'SIMULADOR - DADOS'!F26*'SIMULADOR - DADOS'!F27*'SIMULADOR - DADOS'!I24)),-1))</f>
        <v>220</v>
      </c>
      <c r="K315" s="5">
        <f>IF((ROUND((H308*'COEFICIENTES A ALTERAR'!E17*('SIMULADOR - DADOS'!F22*'SIMULADOR - DADOS'!F24*'SIMULADOR - DADOS'!F25*'SIMULADOR - DADOS'!F26*'SIMULADOR - DADOS'!F27*'SIMULADOR - DADOS'!I24)),-1))&lt;ROUND(('COEFICIENTES A ALTERAR'!E29),-1),ROUND(('COEFICIENTES A ALTERAR'!E29),-1),ROUND((H308*'COEFICIENTES A ALTERAR'!E17*('SIMULADOR - DADOS'!F22*'SIMULADOR - DADOS'!F24*'SIMULADOR - DADOS'!F25*'SIMULADOR - DADOS'!F26*'SIMULADOR - DADOS'!F27*'SIMULADOR - DADOS'!I24)),-1))</f>
        <v>220</v>
      </c>
      <c r="N315" s="68">
        <f>ROUND(((K315/H315)-1),1)</f>
        <v>0</v>
      </c>
      <c r="O315" s="68">
        <f>IF(N315&gt;N314,N315,N314)</f>
        <v>0</v>
      </c>
    </row>
    <row r="316" spans="2:15" s="2" customFormat="1" ht="15" hidden="1" x14ac:dyDescent="0.2">
      <c r="B316" s="2" t="s">
        <v>408</v>
      </c>
      <c r="H316" s="5"/>
      <c r="K316" s="5"/>
      <c r="N316" s="68"/>
      <c r="O316" s="68"/>
    </row>
    <row r="317" spans="2:15" s="2" customFormat="1" ht="15" hidden="1" x14ac:dyDescent="0.2">
      <c r="B317" s="2" t="s">
        <v>409</v>
      </c>
      <c r="H317" s="85"/>
      <c r="K317" s="5"/>
      <c r="N317" s="68"/>
      <c r="O317" s="68"/>
    </row>
    <row r="318" spans="2:15" s="2" customFormat="1" ht="15" hidden="1" x14ac:dyDescent="0.2">
      <c r="B318" s="2" t="s">
        <v>410</v>
      </c>
      <c r="H318" s="5">
        <f>IF((ROUND((H308*'COEFICIENTES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ALTERAR'!E29),-1),ROUND((H308*'COEFICIENTES A ALTERAR'!E23*(1+('COEFICIENTES A ALTERAR'!E36*0.05))*('SIMULADOR - DADOS'!F22*'SIMULADOR - DADOS'!F24*'SIMULADOR - DADOS'!F25*'SIMULADOR - DADOS'!F26*'SIMULADOR - DADOS'!F27*'SIMULADOR - DADOS'!I24)),-1))</f>
        <v>220</v>
      </c>
      <c r="K318" s="5">
        <f>IF((ROUND((H308*'COEFICIENTES A ALTERAR'!E23*('SIMULADOR - DADOS'!F22*'SIMULADOR - DADOS'!F24*'SIMULADOR - DADOS'!F25*'SIMULADOR - DADOS'!F26*'SIMULADOR - DADOS'!F27*'SIMULADOR - DADOS'!I24)),-1))&lt;ROUND(('COEFICIENTES A ALTERAR'!E29),-1),ROUND(('COEFICIENTES A ALTERAR'!E29),-1),ROUND((H308*'COEFICIENTES A ALTERAR'!E23*('SIMULADOR - DADOS'!F22*'SIMULADOR - DADOS'!F24*'SIMULADOR - DADOS'!F25*'SIMULADOR - DADOS'!F26*'SIMULADOR - DADOS'!F27*'SIMULADOR - DADOS'!I24)),-1))</f>
        <v>220</v>
      </c>
      <c r="N318" s="68">
        <f>ROUND(((K318/H318)-1),1)</f>
        <v>0</v>
      </c>
      <c r="O318" s="68">
        <f>IF(N318&gt;N315,N318,N315)</f>
        <v>0</v>
      </c>
    </row>
    <row r="319" spans="2:15" s="2" customFormat="1" ht="15" hidden="1" x14ac:dyDescent="0.2">
      <c r="B319" s="2" t="s">
        <v>411</v>
      </c>
      <c r="H319" s="5">
        <f>ROUND(('COEFICIENTES A ALTERAR'!E27*(1+('COEFICIENTES A ALTERAR'!E36*0.05))*('SIMULADOR - DADOS'!F22*'SIMULADOR - DADOS'!F24*'SIMULADOR - DADOS'!F25*'SIMULADOR - DADOS'!F26*'SIMULADOR - DADOS'!F27*'SIMULADOR - DADOS'!I24)),-1)</f>
        <v>0</v>
      </c>
      <c r="K319" s="5"/>
      <c r="N319" s="68"/>
      <c r="O319" s="68"/>
    </row>
    <row r="320" spans="2:15" s="2" customFormat="1" ht="15" hidden="1" x14ac:dyDescent="0.2">
      <c r="B320" s="2" t="s">
        <v>431</v>
      </c>
      <c r="H320" s="5">
        <f>ROUND(('COEFICIENTES A ALTERAR'!E31*(1.5^(O322-1))*(1+('COEFICIENTES A ALTERAR'!E36*0.05))*('SIMULADOR - DADOS'!F22*'SIMULADOR - DADOS'!F24*'SIMULADOR - DADOS'!F25*'SIMULADOR - DADOS'!F26*'SIMULADOR - DADOS'!F27*'SIMULADOR - DADOS'!I24)),-1)</f>
        <v>0</v>
      </c>
      <c r="K320" s="5"/>
      <c r="N320" s="68"/>
      <c r="O320" s="68"/>
    </row>
    <row r="321" spans="2:15" s="2" customFormat="1" ht="15" hidden="1" x14ac:dyDescent="0.2">
      <c r="B321" s="2" t="s">
        <v>432</v>
      </c>
      <c r="H321" s="5">
        <f>IF(H320/2&lt;'COEFICIENTES A ALTERAR'!E31,ROUND(('COEFICIENTES A ALTERAR'!E31),-1),H320/2)</f>
        <v>100</v>
      </c>
      <c r="K321" s="5"/>
      <c r="N321" s="68"/>
      <c r="O321" s="68"/>
    </row>
    <row r="322" spans="2:15" s="2" customFormat="1" ht="15" hidden="1" x14ac:dyDescent="0.2">
      <c r="B322" s="2" t="s">
        <v>433</v>
      </c>
      <c r="H322" s="5">
        <f>ROUND(('COEFICIENTES A ALTERAR'!E33*(1.5^(O322-1))*(1+('COEFICIENTES A ALTERAR'!E36*0.05))*('SIMULADOR - DADOS'!F22*'SIMULADOR - DADOS'!F24*'SIMULADOR - DADOS'!F25*'SIMULADOR - DADOS'!F26*'SIMULADOR - DADOS'!F27*'SIMULADOR - DADOS'!I24)),-1)</f>
        <v>0</v>
      </c>
      <c r="J322" s="126">
        <f>H308*'COEFICIENTES A ALTERAR'!E39*0.3</f>
        <v>0</v>
      </c>
      <c r="K322" s="127"/>
      <c r="N322" s="68" t="s">
        <v>444</v>
      </c>
      <c r="O322" s="55">
        <f>IF(J322&lt;'COEFICIENTES A ALTERAR'!E40,1,IF('SIMULADOR - CUSTO PROJETOS'!J322&lt;'COEFICIENTES A ALTERAR'!E41,2,IF('SIMULADOR - CUSTO PROJETOS'!J322&lt;'COEFICIENTES A ALTERAR'!E42,3,IF('SIMULADOR - CUSTO PROJETOS'!J322&lt;'COEFICIENTES A ALTERAR'!E43,4,IF('SIMULADOR - CUSTO PROJETOS'!J322&lt;'COEFICIENTES A ALTERAR'!E44,5,IF('SIMULADOR - CUSTO PROJETOS'!J322&lt;'COEFICIENTES A ALTERAR'!E45,6,IF('SIMULADOR - CUSTO PROJETOS'!J322&lt;'COEFICIENTES A ALTERAR'!E46,7,IF('SIMULADOR - CUSTO PROJETOS'!J322&lt;'COEFICIENTES A ALTERAR'!E47,8,9))))))))</f>
        <v>1</v>
      </c>
    </row>
    <row r="323" spans="2:15" hidden="1" x14ac:dyDescent="0.2"/>
    <row r="324" spans="2:15" hidden="1" x14ac:dyDescent="0.2"/>
    <row r="325" spans="2:15" hidden="1" x14ac:dyDescent="0.2"/>
    <row r="326" spans="2:15" ht="15" hidden="1" x14ac:dyDescent="0.2">
      <c r="B326" s="2" t="s">
        <v>463</v>
      </c>
      <c r="H326" s="55">
        <f>(0.45*'SIMULADOR - DADOS'!E15*(0.95^('SIMULADOR - DADOS'!E15/100)))</f>
        <v>0</v>
      </c>
      <c r="I326" s="2" t="s">
        <v>446</v>
      </c>
      <c r="K326" s="32"/>
      <c r="L326" s="32"/>
    </row>
    <row r="327" spans="2:15" ht="15" hidden="1" x14ac:dyDescent="0.2">
      <c r="B327" s="2" t="s">
        <v>451</v>
      </c>
      <c r="H327" s="55">
        <f>(H326*2)+(('SIMULADOR - DADOS'!E18-'SIMULADOR - CUSTO PROJETOS'!H326)*0.2)</f>
        <v>0</v>
      </c>
      <c r="I327" s="2" t="s">
        <v>446</v>
      </c>
      <c r="K327" s="32"/>
      <c r="L327" s="32"/>
    </row>
    <row r="328" spans="2:15" s="2" customFormat="1" ht="15" hidden="1" x14ac:dyDescent="0.2">
      <c r="B328" s="2" t="s">
        <v>378</v>
      </c>
      <c r="H328" s="5">
        <f>IF((ROUND((H327*'COEFICIENTES A ALTERAR'!E7*0.1*('SIMULADOR - DADOS'!F22*'SIMULADOR - DADOS'!F24*'SIMULADOR - DADOS'!F25*'SIMULADOR - DADOS'!F26*'SIMULADOR - DADOS'!F27*'SIMULADOR - DADOS'!I24)),-1))&lt;ROUND(('COEFICIENTES A ALTERAR'!E29),-1),ROUND(('COEFICIENTES A ALTERAR'!E29),-1),ROUND((H327*'COEFICIENTES A ALTERAR'!E7*0.1*('SIMULADOR - DADOS'!F22*'SIMULADOR - DADOS'!F24*'SIMULADOR - DADOS'!F25*'SIMULADOR - DADOS'!F26*'SIMULADOR - DADOS'!F27*'SIMULADOR - DADOS'!I24)),-1))</f>
        <v>220</v>
      </c>
      <c r="K328" s="5"/>
      <c r="N328" s="68"/>
    </row>
    <row r="329" spans="2:15" s="2" customFormat="1" ht="15" hidden="1" x14ac:dyDescent="0.2">
      <c r="B329" s="2" t="s">
        <v>395</v>
      </c>
      <c r="H329" s="5">
        <f>IF((ROUND((H326*'COEFICIENTES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ALTERAR'!E29),-1),ROUND((H326*'COEFICIENTES A ALTERAR'!E7*(1+('COEFICIENTES A ALTERAR'!E36*0.05))*('SIMULADOR - DADOS'!F22*'SIMULADOR - DADOS'!F24*'SIMULADOR - DADOS'!F25*'SIMULADOR - DADOS'!F26*'SIMULADOR - DADOS'!F27*'SIMULADOR - DADOS'!I24)),-1))</f>
        <v>220</v>
      </c>
      <c r="K329" s="5">
        <f>IF((ROUND((H326*'COEFICIENTES A ALTERAR'!E7*('SIMULADOR - DADOS'!F22*'SIMULADOR - DADOS'!F24*'SIMULADOR - DADOS'!F25*'SIMULADOR - DADOS'!F26*'SIMULADOR - DADOS'!F27*'SIMULADOR - DADOS'!I24)),-1))&lt;ROUND(('COEFICIENTES A ALTERAR'!E29),-1),ROUND(('COEFICIENTES A ALTERAR'!E29),-1),ROUND((H326*'COEFICIENTES A ALTERAR'!E7*('SIMULADOR - DADOS'!F22*'SIMULADOR - DADOS'!F24*'SIMULADOR - DADOS'!F25*'SIMULADOR - DADOS'!F26*'SIMULADOR - DADOS'!F27*'SIMULADOR - DADOS'!I24)),-1))</f>
        <v>220</v>
      </c>
      <c r="N329" s="68">
        <f>ROUND(((K329/H329)-1),1)</f>
        <v>0</v>
      </c>
    </row>
    <row r="330" spans="2:15" s="2" customFormat="1" ht="15" hidden="1" x14ac:dyDescent="0.2">
      <c r="B330" s="2" t="s">
        <v>426</v>
      </c>
      <c r="H330" s="5">
        <f>IF((ROUND((H326*'COEFICIENTES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ALTERAR'!E29),-1),ROUND((H326*'COEFICIENTES A ALTERAR'!E11*(1+('COEFICIENTES A ALTERAR'!E36*0.05))*('SIMULADOR - DADOS'!F22*'SIMULADOR - DADOS'!F24*'SIMULADOR - DADOS'!F25*'SIMULADOR - DADOS'!F26*'SIMULADOR - DADOS'!F27*'SIMULADOR - DADOS'!I24)),-1))</f>
        <v>220</v>
      </c>
      <c r="K330" s="5">
        <f>IF((ROUND((H326*'COEFICIENTES A ALTERAR'!E11*('SIMULADOR - DADOS'!F22*'SIMULADOR - DADOS'!F24*'SIMULADOR - DADOS'!F25*'SIMULADOR - DADOS'!F26*'SIMULADOR - DADOS'!F27*'SIMULADOR - DADOS'!I24)),-1))&lt;ROUND(('COEFICIENTES A ALTERAR'!E29),-1),ROUND(('COEFICIENTES A ALTERAR'!E29),-1),ROUND((H326*'COEFICIENTES A ALTERAR'!E11*('SIMULADOR - DADOS'!F22*'SIMULADOR - DADOS'!F24*'SIMULADOR - DADOS'!F25*'SIMULADOR - DADOS'!F26*'SIMULADOR - DADOS'!F27*'SIMULADOR - DADOS'!I24)),-1))</f>
        <v>220</v>
      </c>
      <c r="N330" s="68">
        <f>ROUND(((K330/H330)-1),1)</f>
        <v>0</v>
      </c>
      <c r="O330" s="68"/>
    </row>
    <row r="331" spans="2:15" s="2" customFormat="1" ht="15" hidden="1" x14ac:dyDescent="0.2">
      <c r="B331" s="2" t="s">
        <v>405</v>
      </c>
      <c r="H331" s="5">
        <f>IF((ROUND((H326*'COEFICIENTES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ALTERAR'!E29),-1),ROUND((H326*'COEFICIENTES A ALTERAR'!E13*(1+('COEFICIENTES A ALTERAR'!E36*0.05))*('SIMULADOR - DADOS'!F22*'SIMULADOR - DADOS'!F24*'SIMULADOR - DADOS'!F25*'SIMULADOR - DADOS'!F26*'SIMULADOR - DADOS'!F27*'SIMULADOR - DADOS'!I24)),-1))</f>
        <v>220</v>
      </c>
      <c r="K331" s="5">
        <f>IF((ROUND((H326*'COEFICIENTES A ALTERAR'!E13*('SIMULADOR - DADOS'!F22*'SIMULADOR - DADOS'!F24*'SIMULADOR - DADOS'!F25*'SIMULADOR - DADOS'!F26*'SIMULADOR - DADOS'!F27*'SIMULADOR - DADOS'!I24)),-1))&lt;ROUND(('COEFICIENTES A ALTERAR'!E29),-1),ROUND(('COEFICIENTES A ALTERAR'!E29),-1),ROUND((H326*'COEFICIENTES A ALTERAR'!E13*('SIMULADOR - DADOS'!F22*'SIMULADOR - DADOS'!F24*'SIMULADOR - DADOS'!F25*'SIMULADOR - DADOS'!F26*'SIMULADOR - DADOS'!F27*'SIMULADOR - DADOS'!I24)),-1))</f>
        <v>220</v>
      </c>
      <c r="N331" s="68">
        <f>ROUND(((K331/H331)-1),1)</f>
        <v>0</v>
      </c>
      <c r="O331" s="68">
        <f>IF(N331&gt;N330,N331,N330)</f>
        <v>0</v>
      </c>
    </row>
    <row r="332" spans="2:15" s="2" customFormat="1" ht="15" hidden="1" x14ac:dyDescent="0.2">
      <c r="B332" s="2" t="s">
        <v>406</v>
      </c>
      <c r="H332" s="5">
        <f>IF((ROUND((H326*'COEFICIENTES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ALTERAR'!E29),-1),ROUND((H326*'COEFICIENTES A ALTERAR'!E15*(1+('COEFICIENTES A ALTERAR'!E36*0.05))*('SIMULADOR - DADOS'!F22*'SIMULADOR - DADOS'!F24*'SIMULADOR - DADOS'!F25*'SIMULADOR - DADOS'!F26*'SIMULADOR - DADOS'!F27*'SIMULADOR - DADOS'!I24)),-1))</f>
        <v>220</v>
      </c>
      <c r="K332" s="5">
        <f>IF((ROUND((H326*'COEFICIENTES A ALTERAR'!E15*('SIMULADOR - DADOS'!F22*'SIMULADOR - DADOS'!F24*'SIMULADOR - DADOS'!F25*'SIMULADOR - DADOS'!F26*'SIMULADOR - DADOS'!F27*'SIMULADOR - DADOS'!I24)),-1))&lt;ROUND(('COEFICIENTES A ALTERAR'!E29),-1),ROUND(('COEFICIENTES A ALTERAR'!E29),-1),ROUND((H326*'COEFICIENTES A ALTERAR'!E15*('SIMULADOR - DADOS'!F22*'SIMULADOR - DADOS'!F24*'SIMULADOR - DADOS'!F25*'SIMULADOR - DADOS'!F26*'SIMULADOR - DADOS'!F27*'SIMULADOR - DADOS'!I24)),-1))</f>
        <v>220</v>
      </c>
      <c r="N332" s="68">
        <f>ROUND(((K332/H332)-1),1)</f>
        <v>0</v>
      </c>
      <c r="O332" s="68">
        <f>IF(N332&gt;N331,N332,N331)</f>
        <v>0</v>
      </c>
    </row>
    <row r="333" spans="2:15" s="2" customFormat="1" ht="15" hidden="1" x14ac:dyDescent="0.2">
      <c r="B333" s="2" t="s">
        <v>407</v>
      </c>
      <c r="H333" s="5"/>
      <c r="K333" s="5"/>
      <c r="N333" s="68"/>
      <c r="O333" s="68"/>
    </row>
    <row r="334" spans="2:15" s="2" customFormat="1" ht="15" hidden="1" x14ac:dyDescent="0.2">
      <c r="B334" s="2" t="s">
        <v>408</v>
      </c>
      <c r="H334" s="5"/>
      <c r="K334" s="5"/>
      <c r="N334" s="68"/>
      <c r="O334" s="68"/>
    </row>
    <row r="335" spans="2:15" s="2" customFormat="1" ht="15" hidden="1" x14ac:dyDescent="0.2">
      <c r="B335" s="2" t="s">
        <v>409</v>
      </c>
      <c r="H335" s="85"/>
      <c r="K335" s="5"/>
      <c r="N335" s="68"/>
      <c r="O335" s="68"/>
    </row>
    <row r="336" spans="2:15" s="2" customFormat="1" ht="15" hidden="1" x14ac:dyDescent="0.2">
      <c r="B336" s="2" t="s">
        <v>410</v>
      </c>
      <c r="H336" s="5">
        <f>IF((ROUND((H326*'COEFICIENTES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ALTERAR'!E29),-1),ROUND((H326*'COEFICIENTES A ALTERAR'!E23*(1+('COEFICIENTES A ALTERAR'!E36*0.05))*('SIMULADOR - DADOS'!F22*'SIMULADOR - DADOS'!F24*'SIMULADOR - DADOS'!F25*'SIMULADOR - DADOS'!F26*'SIMULADOR - DADOS'!F27*'SIMULADOR - DADOS'!I24)),-1))</f>
        <v>220</v>
      </c>
      <c r="K336" s="5">
        <f>IF((ROUND((H326*'COEFICIENTES A ALTERAR'!E23*('SIMULADOR - DADOS'!F22*'SIMULADOR - DADOS'!F24*'SIMULADOR - DADOS'!F25*'SIMULADOR - DADOS'!F26*'SIMULADOR - DADOS'!F27*'SIMULADOR - DADOS'!I24)),-1))&lt;ROUND(('COEFICIENTES A ALTERAR'!E29),-1),ROUND(('COEFICIENTES A ALTERAR'!E29),-1),ROUND((H326*'COEFICIENTES A ALTERAR'!E23*('SIMULADOR - DADOS'!F22*'SIMULADOR - DADOS'!F24*'SIMULADOR - DADOS'!F25*'SIMULADOR - DADOS'!F26*'SIMULADOR - DADOS'!F27*'SIMULADOR - DADOS'!I24)),-1))</f>
        <v>220</v>
      </c>
      <c r="N336" s="68">
        <f>ROUND(((K336/H336)-1),1)</f>
        <v>0</v>
      </c>
      <c r="O336" s="68">
        <f>IF(N336&gt;N332,N336,N332)</f>
        <v>0</v>
      </c>
    </row>
    <row r="337" spans="2:15" s="2" customFormat="1" ht="15" hidden="1" x14ac:dyDescent="0.2">
      <c r="B337" s="2" t="s">
        <v>411</v>
      </c>
      <c r="H337" s="5"/>
      <c r="K337" s="5"/>
      <c r="N337" s="68"/>
      <c r="O337" s="68"/>
    </row>
    <row r="338" spans="2:15" s="2" customFormat="1" ht="15" hidden="1" x14ac:dyDescent="0.2">
      <c r="B338" s="2" t="s">
        <v>431</v>
      </c>
      <c r="H338" s="5"/>
      <c r="K338" s="5"/>
      <c r="N338" s="68"/>
      <c r="O338" s="68"/>
    </row>
    <row r="339" spans="2:15" s="2" customFormat="1" ht="15" hidden="1" x14ac:dyDescent="0.2">
      <c r="B339" s="2" t="s">
        <v>432</v>
      </c>
      <c r="H339" s="5"/>
      <c r="K339" s="5"/>
      <c r="N339" s="68"/>
      <c r="O339" s="68"/>
    </row>
    <row r="340" spans="2:15" s="2" customFormat="1" ht="15" hidden="1" x14ac:dyDescent="0.2">
      <c r="B340" s="2" t="s">
        <v>433</v>
      </c>
      <c r="H340" s="5"/>
      <c r="J340" s="126"/>
      <c r="K340" s="127"/>
      <c r="N340" s="68"/>
      <c r="O340" s="55"/>
    </row>
    <row r="341" spans="2:15" hidden="1" x14ac:dyDescent="0.2"/>
    <row r="342" spans="2:15" hidden="1" x14ac:dyDescent="0.2"/>
    <row r="343" spans="2:15" hidden="1" x14ac:dyDescent="0.2"/>
    <row r="344" spans="2:15" ht="15" hidden="1" x14ac:dyDescent="0.2">
      <c r="B344" s="2" t="s">
        <v>464</v>
      </c>
      <c r="H344" s="55">
        <f>(0.9*'SIMULADOR - DADOS'!E15*(0.95^('SIMULADOR - DADOS'!E15/100)))</f>
        <v>0</v>
      </c>
      <c r="I344" s="2" t="s">
        <v>446</v>
      </c>
      <c r="K344" s="32"/>
      <c r="L344" s="32"/>
    </row>
    <row r="345" spans="2:15" ht="15" hidden="1" x14ac:dyDescent="0.2">
      <c r="B345" s="2" t="s">
        <v>451</v>
      </c>
      <c r="H345" s="55"/>
      <c r="I345" s="2"/>
      <c r="K345" s="32"/>
      <c r="L345" s="32"/>
    </row>
    <row r="346" spans="2:15" s="2" customFormat="1" ht="15" hidden="1" x14ac:dyDescent="0.2">
      <c r="B346" s="2" t="s">
        <v>378</v>
      </c>
      <c r="H346" s="5"/>
      <c r="K346" s="5"/>
      <c r="N346" s="68"/>
    </row>
    <row r="347" spans="2:15" s="2" customFormat="1" ht="15" hidden="1" x14ac:dyDescent="0.2">
      <c r="B347" s="2" t="s">
        <v>395</v>
      </c>
      <c r="H347" s="5">
        <f>IF((ROUND((H344*'COEFICIENTES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ALTERAR'!E29),-1),ROUND((H344*'COEFICIENTES A ALTERAR'!E7*(1+('COEFICIENTES A ALTERAR'!E36*0.05))*('SIMULADOR - DADOS'!F22*'SIMULADOR - DADOS'!F24*'SIMULADOR - DADOS'!F25*'SIMULADOR - DADOS'!F26*'SIMULADOR - DADOS'!F27*'SIMULADOR - DADOS'!I24)),-1))</f>
        <v>220</v>
      </c>
      <c r="K347" s="5">
        <f>IF((ROUND((H344*'COEFICIENTES A ALTERAR'!E7*('SIMULADOR - DADOS'!F22*'SIMULADOR - DADOS'!F24*'SIMULADOR - DADOS'!F25*'SIMULADOR - DADOS'!F26*'SIMULADOR - DADOS'!F27*'SIMULADOR - DADOS'!I24)),-1))&lt;ROUND(('COEFICIENTES A ALTERAR'!E29),-1),ROUND(('COEFICIENTES A ALTERAR'!E29),-1),ROUND((H344*'COEFICIENTES A ALTERAR'!E7*('SIMULADOR - DADOS'!F22*'SIMULADOR - DADOS'!F24*'SIMULADOR - DADOS'!F25*'SIMULADOR - DADOS'!F26*'SIMULADOR - DADOS'!F27*'SIMULADOR - DADOS'!I24)),-1))</f>
        <v>220</v>
      </c>
      <c r="N347" s="68">
        <f>ROUND(((K347/H347)-1),1)</f>
        <v>0</v>
      </c>
    </row>
    <row r="348" spans="2:15" s="2" customFormat="1" ht="15" hidden="1" x14ac:dyDescent="0.2">
      <c r="B348" s="2" t="s">
        <v>426</v>
      </c>
      <c r="H348" s="5"/>
      <c r="K348" s="5"/>
      <c r="N348" s="68"/>
      <c r="O348" s="68"/>
    </row>
    <row r="349" spans="2:15" s="2" customFormat="1" ht="15" hidden="1" x14ac:dyDescent="0.2">
      <c r="B349" s="2" t="s">
        <v>405</v>
      </c>
      <c r="H349" s="5"/>
      <c r="K349" s="5"/>
      <c r="N349" s="68"/>
      <c r="O349" s="68"/>
    </row>
    <row r="350" spans="2:15" s="2" customFormat="1" ht="15" hidden="1" x14ac:dyDescent="0.2">
      <c r="B350" s="2" t="s">
        <v>406</v>
      </c>
      <c r="H350" s="5"/>
      <c r="K350" s="5"/>
      <c r="N350" s="68"/>
      <c r="O350" s="68"/>
    </row>
    <row r="351" spans="2:15" s="2" customFormat="1" ht="15" hidden="1" x14ac:dyDescent="0.2">
      <c r="B351" s="2" t="s">
        <v>407</v>
      </c>
      <c r="H351" s="5"/>
      <c r="K351" s="5"/>
      <c r="N351" s="68"/>
      <c r="O351" s="68"/>
    </row>
    <row r="352" spans="2:15" s="2" customFormat="1" ht="15" hidden="1" x14ac:dyDescent="0.2">
      <c r="B352" s="2" t="s">
        <v>408</v>
      </c>
      <c r="H352" s="5"/>
      <c r="K352" s="5"/>
      <c r="N352" s="68"/>
      <c r="O352" s="68"/>
    </row>
    <row r="353" spans="2:15" s="2" customFormat="1" ht="15" hidden="1" x14ac:dyDescent="0.2">
      <c r="B353" s="2" t="s">
        <v>409</v>
      </c>
      <c r="H353" s="85"/>
      <c r="K353" s="5"/>
      <c r="N353" s="68"/>
      <c r="O353" s="68"/>
    </row>
    <row r="354" spans="2:15" s="2" customFormat="1" ht="15" hidden="1" x14ac:dyDescent="0.2">
      <c r="B354" s="2" t="s">
        <v>410</v>
      </c>
      <c r="H354" s="5"/>
      <c r="K354" s="5"/>
      <c r="N354" s="68"/>
      <c r="O354" s="68"/>
    </row>
    <row r="355" spans="2:15" s="2" customFormat="1" ht="15" hidden="1" x14ac:dyDescent="0.2">
      <c r="B355" s="2" t="s">
        <v>411</v>
      </c>
      <c r="H355" s="5"/>
      <c r="K355" s="5"/>
      <c r="N355" s="68"/>
      <c r="O355" s="68"/>
    </row>
    <row r="356" spans="2:15" s="2" customFormat="1" ht="15" hidden="1" x14ac:dyDescent="0.2">
      <c r="B356" s="2" t="s">
        <v>431</v>
      </c>
      <c r="H356" s="5"/>
      <c r="K356" s="5"/>
      <c r="N356" s="68"/>
      <c r="O356" s="68"/>
    </row>
    <row r="357" spans="2:15" s="2" customFormat="1" ht="15" hidden="1" x14ac:dyDescent="0.2">
      <c r="B357" s="2" t="s">
        <v>432</v>
      </c>
      <c r="H357" s="5"/>
      <c r="K357" s="5"/>
      <c r="N357" s="68"/>
      <c r="O357" s="68"/>
    </row>
    <row r="358" spans="2:15" s="2" customFormat="1" ht="15" hidden="1" x14ac:dyDescent="0.2">
      <c r="B358" s="2" t="s">
        <v>433</v>
      </c>
      <c r="H358" s="5"/>
      <c r="J358" s="126"/>
      <c r="K358" s="127"/>
      <c r="N358" s="68"/>
      <c r="O358" s="55"/>
    </row>
    <row r="359" spans="2:15" hidden="1" x14ac:dyDescent="0.2"/>
    <row r="360" spans="2:15" hidden="1" x14ac:dyDescent="0.2"/>
    <row r="361" spans="2:15" hidden="1" x14ac:dyDescent="0.2"/>
    <row r="362" spans="2:15" ht="15" hidden="1" x14ac:dyDescent="0.2">
      <c r="B362" s="2" t="s">
        <v>465</v>
      </c>
      <c r="H362" s="55">
        <f>(0.5*'SIMULADOR - DADOS'!E15)+('SIMULADOR - DADOS'!E15*(0.5^'SIMULADOR - DADOS'!E17))</f>
        <v>0</v>
      </c>
      <c r="I362" s="2" t="s">
        <v>446</v>
      </c>
      <c r="K362" s="32"/>
      <c r="L362" s="32"/>
    </row>
    <row r="363" spans="2:15" ht="15" hidden="1" x14ac:dyDescent="0.2">
      <c r="B363" s="2" t="s">
        <v>451</v>
      </c>
      <c r="H363" s="55">
        <f>(H362*2)+(('SIMULADOR - DADOS'!E18-'SIMULADOR - CUSTO PROJETOS'!H362)*0.2)</f>
        <v>0</v>
      </c>
      <c r="I363" s="2" t="s">
        <v>446</v>
      </c>
      <c r="K363" s="32"/>
      <c r="L363" s="32"/>
    </row>
    <row r="364" spans="2:15" s="2" customFormat="1" ht="15" hidden="1" x14ac:dyDescent="0.2">
      <c r="B364" s="2" t="s">
        <v>378</v>
      </c>
      <c r="H364" s="5">
        <f>IF((ROUND((H363*'COEFICIENTES A ALTERAR'!E7*0.1*('SIMULADOR - DADOS'!F22*'SIMULADOR - DADOS'!F24*'SIMULADOR - DADOS'!F25*'SIMULADOR - DADOS'!F26*'SIMULADOR - DADOS'!F27*'SIMULADOR - DADOS'!I24)),-1))&lt;ROUND(('COEFICIENTES A ALTERAR'!E29),-1),ROUND(('COEFICIENTES A ALTERAR'!E29),-1),ROUND((H363*'COEFICIENTES A ALTERAR'!E7*0.1*('SIMULADOR - DADOS'!F22*'SIMULADOR - DADOS'!F24*'SIMULADOR - DADOS'!F25*'SIMULADOR - DADOS'!F26*'SIMULADOR - DADOS'!F27*'SIMULADOR - DADOS'!I24)),-1))</f>
        <v>220</v>
      </c>
      <c r="K364" s="5"/>
      <c r="N364" s="68"/>
    </row>
    <row r="365" spans="2:15" s="2" customFormat="1" ht="15" hidden="1" x14ac:dyDescent="0.2">
      <c r="B365" s="2" t="s">
        <v>395</v>
      </c>
      <c r="H365" s="5">
        <f>IF((ROUND((H362*'COEFICIENTES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ALTERAR'!E7*(1+('COEFICIENTES A ALTERAR'!E36*0.05))*('SIMULADOR - DADOS'!F22*'SIMULADOR - DADOS'!F24*'SIMULADOR - DADOS'!F25*'SIMULADOR - DADOS'!F26*'SIMULADOR - DADOS'!F27*'SIMULADOR - DADOS'!I24)),-1))</f>
        <v>220</v>
      </c>
      <c r="K365" s="5">
        <f>IF((ROUND((H362*'COEFICIENTES A ALTERAR'!E7*('SIMULADOR - DADOS'!F22*'SIMULADOR - DADOS'!F24*'SIMULADOR - DADOS'!F25*'SIMULADOR - DADOS'!F26*'SIMULADOR - DADOS'!F27*'SIMULADOR - DADOS'!I24)),-1))&lt;ROUND(('COEFICIENTES A ALTERAR'!E29),-1),ROUND(('COEFICIENTES A ALTERAR'!E29),-1),ROUND((H362*'COEFICIENTES A ALTERAR'!E7*('SIMULADOR - DADOS'!F22*'SIMULADOR - DADOS'!F24*'SIMULADOR - DADOS'!F25*'SIMULADOR - DADOS'!F26*'SIMULADOR - DADOS'!F27*'SIMULADOR - DADOS'!I24)),-1))</f>
        <v>220</v>
      </c>
      <c r="N365" s="68">
        <f t="shared" ref="N365:N373" si="5">ROUND(((K365/H365)-1),1)</f>
        <v>0</v>
      </c>
    </row>
    <row r="366" spans="2:15" s="2" customFormat="1" ht="15" hidden="1" x14ac:dyDescent="0.2">
      <c r="B366" s="2" t="s">
        <v>426</v>
      </c>
      <c r="H366" s="5">
        <f>IF((ROUND((H362*'COEFICIENTES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ALTERAR'!E11*(1+('COEFICIENTES A ALTERAR'!E36*0.05))*('SIMULADOR - DADOS'!F22*'SIMULADOR - DADOS'!F24*'SIMULADOR - DADOS'!F25*'SIMULADOR - DADOS'!F26*'SIMULADOR - DADOS'!F27*'SIMULADOR - DADOS'!I24)),-1))</f>
        <v>220</v>
      </c>
      <c r="K366" s="5">
        <f>IF((ROUND((H362*'COEFICIENTES A ALTERAR'!E11*('SIMULADOR - DADOS'!F22*'SIMULADOR - DADOS'!F24*'SIMULADOR - DADOS'!F25*'SIMULADOR - DADOS'!F26*'SIMULADOR - DADOS'!F27*'SIMULADOR - DADOS'!I24)),-1))&lt;ROUND(('COEFICIENTES A ALTERAR'!E29),-1),ROUND(('COEFICIENTES A ALTERAR'!E29),-1),ROUND((H362*'COEFICIENTES A ALTERAR'!E11*('SIMULADOR - DADOS'!F22*'SIMULADOR - DADOS'!F24*'SIMULADOR - DADOS'!F25*'SIMULADOR - DADOS'!F26*'SIMULADOR - DADOS'!F27*'SIMULADOR - DADOS'!I24)),-1))</f>
        <v>220</v>
      </c>
      <c r="N366" s="68">
        <f t="shared" si="5"/>
        <v>0</v>
      </c>
      <c r="O366" s="68"/>
    </row>
    <row r="367" spans="2:15" s="2" customFormat="1" ht="15" hidden="1" x14ac:dyDescent="0.2">
      <c r="B367" s="2" t="s">
        <v>405</v>
      </c>
      <c r="H367" s="5">
        <f>IF((ROUND((H362*'COEFICIENTES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ALTERAR'!E13*(1+('COEFICIENTES A ALTERAR'!E36*0.05))*('SIMULADOR - DADOS'!F22*'SIMULADOR - DADOS'!F24*'SIMULADOR - DADOS'!F25*'SIMULADOR - DADOS'!F26*'SIMULADOR - DADOS'!F27*'SIMULADOR - DADOS'!I24)),-1))</f>
        <v>220</v>
      </c>
      <c r="K367" s="5">
        <f>IF((ROUND((H362*'COEFICIENTES A ALTERAR'!E13*('SIMULADOR - DADOS'!F22*'SIMULADOR - DADOS'!F24*'SIMULADOR - DADOS'!F25*'SIMULADOR - DADOS'!F26*'SIMULADOR - DADOS'!F27*'SIMULADOR - DADOS'!I24)),-1))&lt;ROUND(('COEFICIENTES A ALTERAR'!E29),-1),ROUND(('COEFICIENTES A ALTERAR'!E29),-1),ROUND((H362*'COEFICIENTES A ALTERAR'!E13*('SIMULADOR - DADOS'!F22*'SIMULADOR - DADOS'!F24*'SIMULADOR - DADOS'!F25*'SIMULADOR - DADOS'!F26*'SIMULADOR - DADOS'!F27*'SIMULADOR - DADOS'!I24)),-1))</f>
        <v>220</v>
      </c>
      <c r="N367" s="68">
        <f t="shared" si="5"/>
        <v>0</v>
      </c>
      <c r="O367" s="68">
        <f t="shared" ref="O367:O373" si="6">IF(N367&gt;N366,N367,N366)</f>
        <v>0</v>
      </c>
    </row>
    <row r="368" spans="2:15" s="2" customFormat="1" ht="15" hidden="1" x14ac:dyDescent="0.2">
      <c r="B368" s="2" t="s">
        <v>406</v>
      </c>
      <c r="H368" s="5">
        <f>IF((ROUND((H362*'COEFICIENTES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ALTERAR'!E15*(1+('COEFICIENTES A ALTERAR'!E36*0.05))*('SIMULADOR - DADOS'!F22*'SIMULADOR - DADOS'!F24*'SIMULADOR - DADOS'!F25*'SIMULADOR - DADOS'!F26*'SIMULADOR - DADOS'!F27*'SIMULADOR - DADOS'!I24)),-1))</f>
        <v>220</v>
      </c>
      <c r="K368" s="5">
        <f>IF((ROUND((H362*'COEFICIENTES A ALTERAR'!E15*('SIMULADOR - DADOS'!F22*'SIMULADOR - DADOS'!F24*'SIMULADOR - DADOS'!F25*'SIMULADOR - DADOS'!F26*'SIMULADOR - DADOS'!F27*'SIMULADOR - DADOS'!I24)),-1))&lt;ROUND(('COEFICIENTES A ALTERAR'!E29),-1),ROUND(('COEFICIENTES A ALTERAR'!E29),-1),ROUND((H362*'COEFICIENTES A ALTERAR'!E15*('SIMULADOR - DADOS'!F22*'SIMULADOR - DADOS'!F24*'SIMULADOR - DADOS'!F25*'SIMULADOR - DADOS'!F26*'SIMULADOR - DADOS'!F27*'SIMULADOR - DADOS'!I24)),-1))</f>
        <v>220</v>
      </c>
      <c r="N368" s="68">
        <f t="shared" si="5"/>
        <v>0</v>
      </c>
      <c r="O368" s="68">
        <f t="shared" si="6"/>
        <v>0</v>
      </c>
    </row>
    <row r="369" spans="2:15" s="2" customFormat="1" ht="15" hidden="1" x14ac:dyDescent="0.2">
      <c r="B369" s="2" t="s">
        <v>407</v>
      </c>
      <c r="H369" s="5">
        <f>IF((ROUND((H362*'COEFICIENTES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ALTERAR'!E17*(1+('COEFICIENTES A ALTERAR'!E36*0.05))*('SIMULADOR - DADOS'!F22*'SIMULADOR - DADOS'!F24*'SIMULADOR - DADOS'!F25*'SIMULADOR - DADOS'!F26*'SIMULADOR - DADOS'!F27*'SIMULADOR - DADOS'!I24)),-1))</f>
        <v>220</v>
      </c>
      <c r="K369" s="5">
        <f>IF((ROUND((H362*'COEFICIENTES A ALTERAR'!E17*('SIMULADOR - DADOS'!F22*'SIMULADOR - DADOS'!F24*'SIMULADOR - DADOS'!F25*'SIMULADOR - DADOS'!F26*'SIMULADOR - DADOS'!F27*'SIMULADOR - DADOS'!I24)),-1))&lt;ROUND(('COEFICIENTES A ALTERAR'!E29),-1),ROUND(('COEFICIENTES A ALTERAR'!E29),-1),ROUND((H362*'COEFICIENTES A ALTERAR'!E17*('SIMULADOR - DADOS'!F22*'SIMULADOR - DADOS'!F24*'SIMULADOR - DADOS'!F25*'SIMULADOR - DADOS'!F26*'SIMULADOR - DADOS'!F27*'SIMULADOR - DADOS'!I24)),-1))</f>
        <v>220</v>
      </c>
      <c r="N369" s="68">
        <f t="shared" si="5"/>
        <v>0</v>
      </c>
      <c r="O369" s="68">
        <f t="shared" si="6"/>
        <v>0</v>
      </c>
    </row>
    <row r="370" spans="2:15" s="2" customFormat="1" ht="15" hidden="1" x14ac:dyDescent="0.2">
      <c r="B370" s="2" t="s">
        <v>408</v>
      </c>
      <c r="H370" s="5">
        <f>IF((ROUND((H362*'COEFICIENTES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ALTERAR'!E19*(1+('COEFICIENTES A ALTERAR'!E36*0.05))*('SIMULADOR - DADOS'!F22*'SIMULADOR - DADOS'!F24*'SIMULADOR - DADOS'!F25*'SIMULADOR - DADOS'!F26*'SIMULADOR - DADOS'!F27*'SIMULADOR - DADOS'!I24)),-1))</f>
        <v>220</v>
      </c>
      <c r="K370" s="5">
        <f>IF((ROUND((H362*'COEFICIENTES A ALTERAR'!E19*('SIMULADOR - DADOS'!F22*'SIMULADOR - DADOS'!F24*'SIMULADOR - DADOS'!F25*'SIMULADOR - DADOS'!F26*'SIMULADOR - DADOS'!F27*'SIMULADOR - DADOS'!I24)),-1))&lt;ROUND(('COEFICIENTES A ALTERAR'!E29),-1),ROUND(('COEFICIENTES A ALTERAR'!E29),-1),ROUND((H362*'COEFICIENTES A ALTERAR'!E19*('SIMULADOR - DADOS'!F22*'SIMULADOR - DADOS'!F24*'SIMULADOR - DADOS'!F25*'SIMULADOR - DADOS'!F26*'SIMULADOR - DADOS'!F27*'SIMULADOR - DADOS'!I24)),-1))</f>
        <v>220</v>
      </c>
      <c r="N370" s="68">
        <f t="shared" si="5"/>
        <v>0</v>
      </c>
      <c r="O370" s="68">
        <f t="shared" si="6"/>
        <v>0</v>
      </c>
    </row>
    <row r="371" spans="2:15" s="2" customFormat="1" ht="15" hidden="1" x14ac:dyDescent="0.2">
      <c r="B371" s="2" t="s">
        <v>409</v>
      </c>
      <c r="H371" s="5" t="e">
        <f>IF((ROUND((H362/'SIMULADOR - DADOS'!E17*'COEFICIENTES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ALTERAR'!E29),-1),ROUND((H362/'SIMULADOR - DADOS'!E17*'COEFICIENTES A ALTERAR'!E21*(1+('COEFICIENTES A ALTERAR'!E36*0.05))*('SIMULADOR - DADOS'!F22*'SIMULADOR - DADOS'!F24*'SIMULADOR - DADOS'!F25*'SIMULADOR - DADOS'!F26*'SIMULADOR - DADOS'!F27*'SIMULADOR - DADOS'!I24)),-1))</f>
        <v>#DIV/0!</v>
      </c>
      <c r="K371" s="5" t="e">
        <f>IF((ROUND((H362/'SIMULADOR - DADOS'!E17*'COEFICIENTES A ALTERAR'!E21*('SIMULADOR - DADOS'!F22*'SIMULADOR - DADOS'!F24*'SIMULADOR - DADOS'!F25*'SIMULADOR - DADOS'!F26*'SIMULADOR - DADOS'!F27*'SIMULADOR - DADOS'!I24)),-1))&lt;ROUND(('COEFICIENTES A ALTERAR'!E29),-1),ROUND(('COEFICIENTES A ALTERAR'!E29),-1),ROUND((H362/'SIMULADOR - DADOS'!E17*'COEFICIENTES A ALTERAR'!E21*('SIMULADOR - DADOS'!F22*'SIMULADOR - DADOS'!F24*'SIMULADOR - DADOS'!F25*'SIMULADOR - DADOS'!F26*'SIMULADOR - DADOS'!F27*'SIMULADOR - DADOS'!I24)),-1))</f>
        <v>#DIV/0!</v>
      </c>
      <c r="N371" s="68" t="e">
        <f t="shared" si="5"/>
        <v>#DIV/0!</v>
      </c>
      <c r="O371" s="68" t="e">
        <f t="shared" si="6"/>
        <v>#DIV/0!</v>
      </c>
    </row>
    <row r="372" spans="2:15" s="2" customFormat="1" ht="15" hidden="1" x14ac:dyDescent="0.2">
      <c r="B372" s="2" t="s">
        <v>410</v>
      </c>
      <c r="H372" s="5">
        <f>IF((ROUND((H362*'COEFICIENTES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ALTERAR'!E29),-1),ROUND((H362*'COEFICIENTES A ALTERAR'!E23*(1+('COEFICIENTES A ALTERAR'!E36*0.05))*('SIMULADOR - DADOS'!F22*'SIMULADOR - DADOS'!F24*'SIMULADOR - DADOS'!F25*'SIMULADOR - DADOS'!F26*'SIMULADOR - DADOS'!F27*'SIMULADOR - DADOS'!I24)),-1))</f>
        <v>220</v>
      </c>
      <c r="K372" s="5">
        <f>IF((ROUND((H362*'COEFICIENTES A ALTERAR'!E23*('SIMULADOR - DADOS'!F22*'SIMULADOR - DADOS'!F24*'SIMULADOR - DADOS'!F25*'SIMULADOR - DADOS'!F26*'SIMULADOR - DADOS'!F27*'SIMULADOR - DADOS'!I24)),-1))&lt;ROUND(('COEFICIENTES A ALTERAR'!E29),-1),ROUND(('COEFICIENTES A ALTERAR'!E29),-1),ROUND((H362*'COEFICIENTES A ALTERAR'!E23*('SIMULADOR - DADOS'!F22*'SIMULADOR - DADOS'!F24*'SIMULADOR - DADOS'!F25*'SIMULADOR - DADOS'!F26*'SIMULADOR - DADOS'!F27*'SIMULADOR - DADOS'!I24)),-1))</f>
        <v>220</v>
      </c>
      <c r="N372" s="68">
        <f t="shared" si="5"/>
        <v>0</v>
      </c>
      <c r="O372" s="68" t="e">
        <f t="shared" si="6"/>
        <v>#DIV/0!</v>
      </c>
    </row>
    <row r="373" spans="2:15" s="2" customFormat="1" ht="15" hidden="1" x14ac:dyDescent="0.2">
      <c r="B373" s="2" t="s">
        <v>411</v>
      </c>
      <c r="H373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373" s="5">
        <f>ROUND(('COEFICIENTES A ALTERAR'!E27*'SIMULADOR - DADOS'!E17*('SIMULADOR - DADOS'!F22*'SIMULADOR - DADOS'!F24*'SIMULADOR - DADOS'!F25*'SIMULADOR - DADOS'!F26*'SIMULADOR - DADOS'!F27*'SIMULADOR - DADOS'!I24)),-1)</f>
        <v>0</v>
      </c>
      <c r="N373" s="68" t="e">
        <f t="shared" si="5"/>
        <v>#DIV/0!</v>
      </c>
      <c r="O373" s="68" t="e">
        <f t="shared" si="6"/>
        <v>#DIV/0!</v>
      </c>
    </row>
    <row r="374" spans="2:15" s="2" customFormat="1" ht="15" hidden="1" x14ac:dyDescent="0.2">
      <c r="B374" s="2" t="s">
        <v>431</v>
      </c>
      <c r="H374" s="5">
        <f>ROUND(('COEFICIENTES A ALTERAR'!E31*(1.5^(O376-1))*(1+('COEFICIENTES A ALTERAR'!E36*0.05))*('SIMULADOR - DADOS'!F22*'SIMULADOR - DADOS'!F24*'SIMULADOR - DADOS'!F25*'SIMULADOR - DADOS'!F26*'SIMULADOR - DADOS'!F27*'SIMULADOR - DADOS'!I24)),-1)</f>
        <v>0</v>
      </c>
      <c r="K374" s="5"/>
      <c r="N374" s="68"/>
      <c r="O374" s="68"/>
    </row>
    <row r="375" spans="2:15" s="2" customFormat="1" ht="15" hidden="1" x14ac:dyDescent="0.2">
      <c r="B375" s="2" t="s">
        <v>432</v>
      </c>
      <c r="H375" s="5">
        <f>IF(H374/2&lt;'COEFICIENTES A ALTERAR'!E31,ROUND(('COEFICIENTES A ALTERAR'!E31),-1),H374/2)</f>
        <v>100</v>
      </c>
      <c r="K375" s="5"/>
      <c r="N375" s="68"/>
      <c r="O375" s="68"/>
    </row>
    <row r="376" spans="2:15" s="2" customFormat="1" ht="15" hidden="1" x14ac:dyDescent="0.2">
      <c r="B376" s="2" t="s">
        <v>433</v>
      </c>
      <c r="H376" s="5">
        <f>ROUND(('COEFICIENTES A ALTERAR'!E33*(1.5^(O376-1))*(1+('COEFICIENTES A ALTERAR'!E36*0.05))*('SIMULADOR - DADOS'!F22*'SIMULADOR - DADOS'!F24*'SIMULADOR - DADOS'!F25*'SIMULADOR - DADOS'!F26*'SIMULADOR - DADOS'!F27*'SIMULADOR - DADOS'!I24)),-1)</f>
        <v>0</v>
      </c>
      <c r="J376" s="126">
        <f>H362*'COEFICIENTES A ALTERAR'!E39</f>
        <v>0</v>
      </c>
      <c r="K376" s="127"/>
      <c r="N376" s="68" t="s">
        <v>444</v>
      </c>
      <c r="O376" s="55">
        <f>IF(J376&lt;'COEFICIENTES A ALTERAR'!E40,1,IF('SIMULADOR - CUSTO PROJETOS'!J376&lt;'COEFICIENTES A ALTERAR'!E41,2,IF('SIMULADOR - CUSTO PROJETOS'!J376&lt;'COEFICIENTES A ALTERAR'!E42,3,IF('SIMULADOR - CUSTO PROJETOS'!J376&lt;'COEFICIENTES A ALTERAR'!E43,4,IF('SIMULADOR - CUSTO PROJETOS'!J376&lt;'COEFICIENTES A ALTERAR'!E44,5,IF('SIMULADOR - CUSTO PROJETOS'!J376&lt;'COEFICIENTES A ALTERAR'!E45,6,IF('SIMULADOR - CUSTO PROJETOS'!J376&lt;'COEFICIENTES A ALTERAR'!E46,7,IF('SIMULADOR - CUSTO PROJETOS'!J376&lt;'COEFICIENTES A ALTERAR'!E47,8,9))))))))</f>
        <v>1</v>
      </c>
    </row>
    <row r="377" spans="2:15" hidden="1" x14ac:dyDescent="0.2"/>
    <row r="378" spans="2:15" hidden="1" x14ac:dyDescent="0.2"/>
    <row r="379" spans="2:15" hidden="1" x14ac:dyDescent="0.2"/>
    <row r="380" spans="2:15" ht="15" hidden="1" x14ac:dyDescent="0.2">
      <c r="B380" s="2" t="s">
        <v>466</v>
      </c>
      <c r="H380" s="55">
        <f>(0.5*'SIMULADOR - DADOS'!E15)+('SIMULADOR - DADOS'!E15*(0.5^'SIMULADOR - DADOS'!E17))</f>
        <v>0</v>
      </c>
      <c r="I380" s="2" t="s">
        <v>446</v>
      </c>
      <c r="K380" s="32"/>
      <c r="L380" s="32"/>
    </row>
    <row r="381" spans="2:15" ht="15" hidden="1" x14ac:dyDescent="0.2">
      <c r="B381" s="2" t="s">
        <v>451</v>
      </c>
      <c r="H381" s="55"/>
      <c r="I381" s="2"/>
      <c r="K381" s="32"/>
      <c r="L381" s="32"/>
    </row>
    <row r="382" spans="2:15" s="2" customFormat="1" ht="15" hidden="1" x14ac:dyDescent="0.2">
      <c r="B382" s="2" t="s">
        <v>378</v>
      </c>
      <c r="H382" s="5"/>
      <c r="K382" s="5"/>
      <c r="N382" s="68"/>
    </row>
    <row r="383" spans="2:15" s="2" customFormat="1" ht="15" hidden="1" x14ac:dyDescent="0.2">
      <c r="B383" s="2" t="s">
        <v>395</v>
      </c>
      <c r="H383" s="5">
        <f>IF((ROUND((H380*'COEFICIENTES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ALTERAR'!E7*(1+('COEFICIENTES A ALTERAR'!E36*0.05))*('SIMULADOR - DADOS'!F22*'SIMULADOR - DADOS'!F24*'SIMULADOR - DADOS'!F25*'SIMULADOR - DADOS'!F26*'SIMULADOR - DADOS'!F27*'SIMULADOR - DADOS'!I24)),-1))</f>
        <v>220</v>
      </c>
      <c r="K383" s="5">
        <f>IF((ROUND((H380*'COEFICIENTES A ALTERAR'!E7*('SIMULADOR - DADOS'!F22*'SIMULADOR - DADOS'!F24*'SIMULADOR - DADOS'!F25*'SIMULADOR - DADOS'!F26*'SIMULADOR - DADOS'!F27*'SIMULADOR - DADOS'!I24)),-1))&lt;ROUND(('COEFICIENTES A ALTERAR'!E29),-1),ROUND(('COEFICIENTES A ALTERAR'!E29),-1),ROUND((H380*'COEFICIENTES A ALTERAR'!E7*('SIMULADOR - DADOS'!F22*'SIMULADOR - DADOS'!F24*'SIMULADOR - DADOS'!F25*'SIMULADOR - DADOS'!F26*'SIMULADOR - DADOS'!F27*'SIMULADOR - DADOS'!I24)),-1))</f>
        <v>220</v>
      </c>
      <c r="N383" s="68">
        <f t="shared" ref="N383:N391" si="7">ROUND(((K383/H383)-1),1)</f>
        <v>0</v>
      </c>
    </row>
    <row r="384" spans="2:15" s="2" customFormat="1" ht="15" hidden="1" x14ac:dyDescent="0.2">
      <c r="B384" s="2" t="s">
        <v>426</v>
      </c>
      <c r="H384" s="5">
        <f>IF((ROUND((H380*'COEFICIENTES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ALTERAR'!E11*(1+('COEFICIENTES A ALTERAR'!E36*0.05))*('SIMULADOR - DADOS'!F22*'SIMULADOR - DADOS'!F24*'SIMULADOR - DADOS'!F25*'SIMULADOR - DADOS'!F26*'SIMULADOR - DADOS'!F27*'SIMULADOR - DADOS'!I24)),-1))</f>
        <v>220</v>
      </c>
      <c r="K384" s="5">
        <f>IF((ROUND((H380*'COEFICIENTES A ALTERAR'!E11*('SIMULADOR - DADOS'!F22*'SIMULADOR - DADOS'!F24*'SIMULADOR - DADOS'!F25*'SIMULADOR - DADOS'!F26*'SIMULADOR - DADOS'!F27*'SIMULADOR - DADOS'!I24)),-1))&lt;ROUND(('COEFICIENTES A ALTERAR'!E29),-1),ROUND(('COEFICIENTES A ALTERAR'!E29),-1),ROUND((H380*'COEFICIENTES A ALTERAR'!E11*('SIMULADOR - DADOS'!F22*'SIMULADOR - DADOS'!F24*'SIMULADOR - DADOS'!F25*'SIMULADOR - DADOS'!F26*'SIMULADOR - DADOS'!F27*'SIMULADOR - DADOS'!I24)),-1))</f>
        <v>220</v>
      </c>
      <c r="N384" s="68">
        <f t="shared" si="7"/>
        <v>0</v>
      </c>
      <c r="O384" s="68"/>
    </row>
    <row r="385" spans="2:15" s="2" customFormat="1" ht="15" hidden="1" x14ac:dyDescent="0.2">
      <c r="B385" s="2" t="s">
        <v>405</v>
      </c>
      <c r="H385" s="5">
        <f>IF((ROUND((H380*'COEFICIENTES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ALTERAR'!E13*(1+('COEFICIENTES A ALTERAR'!E36*0.05))*('SIMULADOR - DADOS'!F22*'SIMULADOR - DADOS'!F24*'SIMULADOR - DADOS'!F25*'SIMULADOR - DADOS'!F26*'SIMULADOR - DADOS'!F27*'SIMULADOR - DADOS'!I24)),-1))</f>
        <v>220</v>
      </c>
      <c r="K385" s="5">
        <f>IF((ROUND((H380*'COEFICIENTES A ALTERAR'!E13*('SIMULADOR - DADOS'!F22*'SIMULADOR - DADOS'!F24*'SIMULADOR - DADOS'!F25*'SIMULADOR - DADOS'!F26*'SIMULADOR - DADOS'!F27*'SIMULADOR - DADOS'!I24)),-1))&lt;ROUND(('COEFICIENTES A ALTERAR'!E29),-1),ROUND(('COEFICIENTES A ALTERAR'!E29),-1),ROUND((H380*'COEFICIENTES A ALTERAR'!E13*('SIMULADOR - DADOS'!F22*'SIMULADOR - DADOS'!F24*'SIMULADOR - DADOS'!F25*'SIMULADOR - DADOS'!F26*'SIMULADOR - DADOS'!F27*'SIMULADOR - DADOS'!I24)),-1))</f>
        <v>220</v>
      </c>
      <c r="N385" s="68">
        <f t="shared" si="7"/>
        <v>0</v>
      </c>
      <c r="O385" s="68">
        <f t="shared" ref="O385:O391" si="8">IF(N385&gt;N384,N385,N384)</f>
        <v>0</v>
      </c>
    </row>
    <row r="386" spans="2:15" s="2" customFormat="1" ht="15" hidden="1" x14ac:dyDescent="0.2">
      <c r="B386" s="2" t="s">
        <v>406</v>
      </c>
      <c r="H386" s="5">
        <f>IF((ROUND((H380*'COEFICIENTES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ALTERAR'!E15*(1+('COEFICIENTES A ALTERAR'!E36*0.05))*('SIMULADOR - DADOS'!F22*'SIMULADOR - DADOS'!F24*'SIMULADOR - DADOS'!F25*'SIMULADOR - DADOS'!F26*'SIMULADOR - DADOS'!F27*'SIMULADOR - DADOS'!I24)),-1))</f>
        <v>220</v>
      </c>
      <c r="K386" s="5">
        <f>IF((ROUND((H380*'COEFICIENTES A ALTERAR'!E15*('SIMULADOR - DADOS'!F22*'SIMULADOR - DADOS'!F24*'SIMULADOR - DADOS'!F25*'SIMULADOR - DADOS'!F26*'SIMULADOR - DADOS'!F27*'SIMULADOR - DADOS'!I24)),-1))&lt;ROUND(('COEFICIENTES A ALTERAR'!E29),-1),ROUND(('COEFICIENTES A ALTERAR'!E29),-1),ROUND((H380*'COEFICIENTES A ALTERAR'!E15*('SIMULADOR - DADOS'!F22*'SIMULADOR - DADOS'!F24*'SIMULADOR - DADOS'!F25*'SIMULADOR - DADOS'!F26*'SIMULADOR - DADOS'!F27*'SIMULADOR - DADOS'!I24)),-1))</f>
        <v>220</v>
      </c>
      <c r="N386" s="68">
        <f t="shared" si="7"/>
        <v>0</v>
      </c>
      <c r="O386" s="68">
        <f t="shared" si="8"/>
        <v>0</v>
      </c>
    </row>
    <row r="387" spans="2:15" s="2" customFormat="1" ht="15" hidden="1" x14ac:dyDescent="0.2">
      <c r="B387" s="2" t="s">
        <v>407</v>
      </c>
      <c r="H387" s="5">
        <f>IF((ROUND((H380*'COEFICIENTES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ALTERAR'!E17*(1+('COEFICIENTES A ALTERAR'!E36*0.05))*('SIMULADOR - DADOS'!F22*'SIMULADOR - DADOS'!F24*'SIMULADOR - DADOS'!F25*'SIMULADOR - DADOS'!F26*'SIMULADOR - DADOS'!F27*'SIMULADOR - DADOS'!I24)),-1))</f>
        <v>220</v>
      </c>
      <c r="K387" s="5">
        <f>IF((ROUND((H380*'COEFICIENTES A ALTERAR'!E17*('SIMULADOR - DADOS'!F22*'SIMULADOR - DADOS'!F24*'SIMULADOR - DADOS'!F25*'SIMULADOR - DADOS'!F26*'SIMULADOR - DADOS'!F27*'SIMULADOR - DADOS'!I24)),-1))&lt;ROUND(('COEFICIENTES A ALTERAR'!E29),-1),ROUND(('COEFICIENTES A ALTERAR'!E29),-1),ROUND((H380*'COEFICIENTES A ALTERAR'!E17*('SIMULADOR - DADOS'!F22*'SIMULADOR - DADOS'!F24*'SIMULADOR - DADOS'!F25*'SIMULADOR - DADOS'!F26*'SIMULADOR - DADOS'!F27*'SIMULADOR - DADOS'!I24)),-1))</f>
        <v>220</v>
      </c>
      <c r="N387" s="68">
        <f t="shared" si="7"/>
        <v>0</v>
      </c>
      <c r="O387" s="68">
        <f t="shared" si="8"/>
        <v>0</v>
      </c>
    </row>
    <row r="388" spans="2:15" s="2" customFormat="1" ht="15" hidden="1" x14ac:dyDescent="0.2">
      <c r="B388" s="2" t="s">
        <v>408</v>
      </c>
      <c r="H388" s="5">
        <f>IF((ROUND((H380*'COEFICIENTES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ALTERAR'!E19*(1+('COEFICIENTES A ALTERAR'!E36*0.05))*('SIMULADOR - DADOS'!F22*'SIMULADOR - DADOS'!F24*'SIMULADOR - DADOS'!F25*'SIMULADOR - DADOS'!F26*'SIMULADOR - DADOS'!F27*'SIMULADOR - DADOS'!I24)),-1))</f>
        <v>220</v>
      </c>
      <c r="K388" s="5">
        <f>IF((ROUND((H380*'COEFICIENTES A ALTERAR'!E19*('SIMULADOR - DADOS'!F22*'SIMULADOR - DADOS'!F24*'SIMULADOR - DADOS'!F25*'SIMULADOR - DADOS'!F26*'SIMULADOR - DADOS'!F27*'SIMULADOR - DADOS'!I24)),-1))&lt;ROUND(('COEFICIENTES A ALTERAR'!E29),-1),ROUND(('COEFICIENTES A ALTERAR'!E29),-1),ROUND((H380*'COEFICIENTES A ALTERAR'!E19*('SIMULADOR - DADOS'!F22*'SIMULADOR - DADOS'!F24*'SIMULADOR - DADOS'!F25*'SIMULADOR - DADOS'!F26*'SIMULADOR - DADOS'!F27*'SIMULADOR - DADOS'!I24)),-1))</f>
        <v>220</v>
      </c>
      <c r="N388" s="68">
        <f t="shared" si="7"/>
        <v>0</v>
      </c>
      <c r="O388" s="68">
        <f t="shared" si="8"/>
        <v>0</v>
      </c>
    </row>
    <row r="389" spans="2:15" s="2" customFormat="1" ht="15" hidden="1" x14ac:dyDescent="0.2">
      <c r="B389" s="2" t="s">
        <v>409</v>
      </c>
      <c r="H389" s="5" t="e">
        <f>IF((ROUND((H380/'SIMULADOR - DADOS'!E17*'COEFICIENTES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ALTERAR'!E29),-1),ROUND((H380/'SIMULADOR - DADOS'!E17*'COEFICIENTES A ALTERAR'!E21*(1+('COEFICIENTES A ALTERAR'!E36*0.05))*('SIMULADOR - DADOS'!F22*'SIMULADOR - DADOS'!F24*'SIMULADOR - DADOS'!F25*'SIMULADOR - DADOS'!F26*'SIMULADOR - DADOS'!F27*'SIMULADOR - DADOS'!I24)),-1))</f>
        <v>#DIV/0!</v>
      </c>
      <c r="K389" s="5" t="e">
        <f>IF((ROUND((H380/'SIMULADOR - DADOS'!E17*'COEFICIENTES A ALTERAR'!E21*('SIMULADOR - DADOS'!F22*'SIMULADOR - DADOS'!F24*'SIMULADOR - DADOS'!F25*'SIMULADOR - DADOS'!F26*'SIMULADOR - DADOS'!F27*'SIMULADOR - DADOS'!I24)),-1))&lt;ROUND(('COEFICIENTES A ALTERAR'!E29),-1),ROUND(('COEFICIENTES A ALTERAR'!E29),-1),ROUND((H380/'SIMULADOR - DADOS'!E17*'COEFICIENTES A ALTERAR'!E21*('SIMULADOR - DADOS'!F22*'SIMULADOR - DADOS'!F24*'SIMULADOR - DADOS'!F25*'SIMULADOR - DADOS'!F26*'SIMULADOR - DADOS'!F27*'SIMULADOR - DADOS'!I24)),-1))</f>
        <v>#DIV/0!</v>
      </c>
      <c r="N389" s="68" t="e">
        <f t="shared" si="7"/>
        <v>#DIV/0!</v>
      </c>
      <c r="O389" s="68" t="e">
        <f t="shared" si="8"/>
        <v>#DIV/0!</v>
      </c>
    </row>
    <row r="390" spans="2:15" s="2" customFormat="1" ht="15" hidden="1" x14ac:dyDescent="0.2">
      <c r="B390" s="2" t="s">
        <v>410</v>
      </c>
      <c r="H390" s="5">
        <f>IF((ROUND((H380*'COEFICIENTES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ALTERAR'!E29),-1),ROUND((H380*'COEFICIENTES A ALTERAR'!E23*(1+('COEFICIENTES A ALTERAR'!E36*0.05))*('SIMULADOR - DADOS'!F22*'SIMULADOR - DADOS'!F24*'SIMULADOR - DADOS'!F25*'SIMULADOR - DADOS'!F26*'SIMULADOR - DADOS'!F27*'SIMULADOR - DADOS'!I24)),-1))</f>
        <v>220</v>
      </c>
      <c r="K390" s="5">
        <f>IF((ROUND((H380*'COEFICIENTES A ALTERAR'!E23*('SIMULADOR - DADOS'!F22*'SIMULADOR - DADOS'!F24*'SIMULADOR - DADOS'!F25*'SIMULADOR - DADOS'!F26*'SIMULADOR - DADOS'!F27*'SIMULADOR - DADOS'!I24)),-1))&lt;ROUND(('COEFICIENTES A ALTERAR'!E29),-1),ROUND(('COEFICIENTES A ALTERAR'!E29),-1),ROUND((H380*'COEFICIENTES A ALTERAR'!E23*('SIMULADOR - DADOS'!F22*'SIMULADOR - DADOS'!F24*'SIMULADOR - DADOS'!F25*'SIMULADOR - DADOS'!F26*'SIMULADOR - DADOS'!F27*'SIMULADOR - DADOS'!I24)),-1))</f>
        <v>220</v>
      </c>
      <c r="N390" s="68">
        <f t="shared" si="7"/>
        <v>0</v>
      </c>
      <c r="O390" s="68" t="e">
        <f t="shared" si="8"/>
        <v>#DIV/0!</v>
      </c>
    </row>
    <row r="391" spans="2:15" s="2" customFormat="1" ht="15" hidden="1" x14ac:dyDescent="0.2">
      <c r="B391" s="2" t="s">
        <v>411</v>
      </c>
      <c r="H391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391" s="5">
        <f>ROUND(('COEFICIENTES A ALTERAR'!E27*'SIMULADOR - DADOS'!E17*('SIMULADOR - DADOS'!F22*'SIMULADOR - DADOS'!F24*'SIMULADOR - DADOS'!F25*'SIMULADOR - DADOS'!F26*'SIMULADOR - DADOS'!F27*'SIMULADOR - DADOS'!I24)),-1)</f>
        <v>0</v>
      </c>
      <c r="N391" s="68" t="e">
        <f t="shared" si="7"/>
        <v>#DIV/0!</v>
      </c>
      <c r="O391" s="68" t="e">
        <f t="shared" si="8"/>
        <v>#DIV/0!</v>
      </c>
    </row>
    <row r="392" spans="2:15" s="2" customFormat="1" ht="15" hidden="1" x14ac:dyDescent="0.2">
      <c r="B392" s="2" t="s">
        <v>431</v>
      </c>
      <c r="H392" s="5">
        <f>ROUND(('COEFICIENTES A ALTERAR'!E31*(1.5^(O394-1))*(1+('COEFICIENTES A ALTERAR'!E36*0.05))*('SIMULADOR - DADOS'!F22*'SIMULADOR - DADOS'!F24*'SIMULADOR - DADOS'!F25*'SIMULADOR - DADOS'!F26*'SIMULADOR - DADOS'!F27*'SIMULADOR - DADOS'!I24)),-1)</f>
        <v>0</v>
      </c>
      <c r="K392" s="5"/>
      <c r="N392" s="68"/>
      <c r="O392" s="68"/>
    </row>
    <row r="393" spans="2:15" s="2" customFormat="1" ht="15" hidden="1" x14ac:dyDescent="0.2">
      <c r="B393" s="2" t="s">
        <v>432</v>
      </c>
      <c r="H393" s="5">
        <f>IF(H392/2&lt;'COEFICIENTES A ALTERAR'!E31,ROUND(('COEFICIENTES A ALTERAR'!E31),-1),H392/2)</f>
        <v>100</v>
      </c>
      <c r="K393" s="5"/>
      <c r="N393" s="68"/>
      <c r="O393" s="68"/>
    </row>
    <row r="394" spans="2:15" s="2" customFormat="1" ht="15" hidden="1" x14ac:dyDescent="0.2">
      <c r="B394" s="2" t="s">
        <v>433</v>
      </c>
      <c r="H394" s="5">
        <f>ROUND(('COEFICIENTES A ALTERAR'!E33*(1.5^(O394-1))*(1+('COEFICIENTES A ALTERAR'!E36*0.05))*('SIMULADOR - DADOS'!F22*'SIMULADOR - DADOS'!F24*'SIMULADOR - DADOS'!F25*'SIMULADOR - DADOS'!F26*'SIMULADOR - DADOS'!F27*'SIMULADOR - DADOS'!I24)),-1)</f>
        <v>0</v>
      </c>
      <c r="J394" s="126">
        <f>H380*'COEFICIENTES A ALTERAR'!E39</f>
        <v>0</v>
      </c>
      <c r="K394" s="127"/>
      <c r="N394" s="68" t="s">
        <v>444</v>
      </c>
      <c r="O394" s="55">
        <f>IF(J394&lt;'COEFICIENTES A ALTERAR'!E40,1,IF('SIMULADOR - CUSTO PROJETOS'!J394&lt;'COEFICIENTES A ALTERAR'!E41,2,IF('SIMULADOR - CUSTO PROJETOS'!J394&lt;'COEFICIENTES A ALTERAR'!E42,3,IF('SIMULADOR - CUSTO PROJETOS'!J394&lt;'COEFICIENTES A ALTERAR'!E43,4,IF('SIMULADOR - CUSTO PROJETOS'!J394&lt;'COEFICIENTES A ALTERAR'!E44,5,IF('SIMULADOR - CUSTO PROJETOS'!J394&lt;'COEFICIENTES A ALTERAR'!E45,6,IF('SIMULADOR - CUSTO PROJETOS'!J394&lt;'COEFICIENTES A ALTERAR'!E46,7,IF('SIMULADOR - CUSTO PROJETOS'!J394&lt;'COEFICIENTES A ALTERAR'!E47,8,9))))))))</f>
        <v>1</v>
      </c>
    </row>
    <row r="395" spans="2:15" hidden="1" x14ac:dyDescent="0.2"/>
    <row r="396" spans="2:15" hidden="1" x14ac:dyDescent="0.2"/>
    <row r="397" spans="2:15" hidden="1" x14ac:dyDescent="0.2"/>
    <row r="398" spans="2:15" ht="15" hidden="1" x14ac:dyDescent="0.2">
      <c r="B398" s="2" t="s">
        <v>467</v>
      </c>
      <c r="H398" s="55">
        <f>(0.75*((0.5*'SIMULADOR - DADOS'!E15)+('SIMULADOR - DADOS'!E15*(0.5^'SIMULADOR - DADOS'!E17))))+(2*'SIMULADOR - DADOS'!E16)</f>
        <v>0</v>
      </c>
      <c r="I398" s="2" t="s">
        <v>446</v>
      </c>
      <c r="K398" s="32"/>
      <c r="L398" s="32"/>
    </row>
    <row r="399" spans="2:15" ht="15" hidden="1" x14ac:dyDescent="0.2">
      <c r="B399" s="2" t="s">
        <v>451</v>
      </c>
      <c r="H399" s="55">
        <f>(H398*2)+(('SIMULADOR - DADOS'!E18-'SIMULADOR - CUSTO PROJETOS'!H398)*0.2)</f>
        <v>0</v>
      </c>
      <c r="I399" s="2" t="s">
        <v>446</v>
      </c>
      <c r="K399" s="32"/>
      <c r="L399" s="32"/>
    </row>
    <row r="400" spans="2:15" s="2" customFormat="1" ht="15" hidden="1" x14ac:dyDescent="0.2">
      <c r="B400" s="2" t="s">
        <v>378</v>
      </c>
      <c r="H400" s="5">
        <f>IF((ROUND((H399*'COEFICIENTES A ALTERAR'!E7*0.1*('SIMULADOR - DADOS'!F22*'SIMULADOR - DADOS'!F24*'SIMULADOR - DADOS'!F25*'SIMULADOR - DADOS'!F26*'SIMULADOR - DADOS'!F27*'SIMULADOR - DADOS'!I24)),-1))&lt;ROUND(('COEFICIENTES A ALTERAR'!E29),-1),ROUND(('COEFICIENTES A ALTERAR'!E29),-1),ROUND((H399*'COEFICIENTES A ALTERAR'!E7*0.1*('SIMULADOR - DADOS'!F22*'SIMULADOR - DADOS'!F24*'SIMULADOR - DADOS'!F25*'SIMULADOR - DADOS'!F26*'SIMULADOR - DADOS'!F27*'SIMULADOR - DADOS'!I24)),-1))</f>
        <v>220</v>
      </c>
      <c r="K400" s="5"/>
      <c r="N400" s="68"/>
    </row>
    <row r="401" spans="2:15" s="2" customFormat="1" ht="15" hidden="1" x14ac:dyDescent="0.2">
      <c r="B401" s="2" t="s">
        <v>395</v>
      </c>
      <c r="H401" s="5">
        <f>IF((ROUND((H398*'COEFICIENTES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ALTERAR'!E7*(1+('COEFICIENTES A ALTERAR'!E36*0.05))*('SIMULADOR - DADOS'!F22*'SIMULADOR - DADOS'!F24*'SIMULADOR - DADOS'!F25*'SIMULADOR - DADOS'!F26*'SIMULADOR - DADOS'!F27*'SIMULADOR - DADOS'!I24)),-1))</f>
        <v>220</v>
      </c>
      <c r="K401" s="5">
        <f>IF((ROUND((H398*'COEFICIENTES A ALTERAR'!E7*('SIMULADOR - DADOS'!F22*'SIMULADOR - DADOS'!F24*'SIMULADOR - DADOS'!F25*'SIMULADOR - DADOS'!F26*'SIMULADOR - DADOS'!F27*'SIMULADOR - DADOS'!I24)),-1))&lt;ROUND(('COEFICIENTES A ALTERAR'!E29),-1),ROUND(('COEFICIENTES A ALTERAR'!E29),-1),ROUND((H398*'COEFICIENTES A ALTERAR'!E7*('SIMULADOR - DADOS'!F22*'SIMULADOR - DADOS'!F24*'SIMULADOR - DADOS'!F25*'SIMULADOR - DADOS'!F26*'SIMULADOR - DADOS'!F27*'SIMULADOR - DADOS'!I24)),-1))</f>
        <v>220</v>
      </c>
      <c r="N401" s="68">
        <f t="shared" ref="N401:N409" si="9">ROUND(((K401/H401)-1),1)</f>
        <v>0</v>
      </c>
    </row>
    <row r="402" spans="2:15" s="2" customFormat="1" ht="15" hidden="1" x14ac:dyDescent="0.2">
      <c r="B402" s="2" t="s">
        <v>426</v>
      </c>
      <c r="H402" s="5">
        <f>IF((ROUND((H398*'COEFICIENTES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ALTERAR'!E11*(1+('COEFICIENTES A ALTERAR'!E36*0.05))*('SIMULADOR - DADOS'!F22*'SIMULADOR - DADOS'!F24*'SIMULADOR - DADOS'!F25*'SIMULADOR - DADOS'!F26*'SIMULADOR - DADOS'!F27*'SIMULADOR - DADOS'!I24)),-1))</f>
        <v>220</v>
      </c>
      <c r="K402" s="5">
        <f>IF((ROUND((H398*'COEFICIENTES A ALTERAR'!E11*('SIMULADOR - DADOS'!F22*'SIMULADOR - DADOS'!F24*'SIMULADOR - DADOS'!F25*'SIMULADOR - DADOS'!F26*'SIMULADOR - DADOS'!F27*'SIMULADOR - DADOS'!I24)),-1))&lt;ROUND(('COEFICIENTES A ALTERAR'!E29),-1),ROUND(('COEFICIENTES A ALTERAR'!E29),-1),ROUND((H398*'COEFICIENTES A ALTERAR'!E11*('SIMULADOR - DADOS'!F22*'SIMULADOR - DADOS'!F24*'SIMULADOR - DADOS'!F25*'SIMULADOR - DADOS'!F26*'SIMULADOR - DADOS'!F27*'SIMULADOR - DADOS'!I24)),-1))</f>
        <v>220</v>
      </c>
      <c r="N402" s="68">
        <f t="shared" si="9"/>
        <v>0</v>
      </c>
      <c r="O402" s="68"/>
    </row>
    <row r="403" spans="2:15" s="2" customFormat="1" ht="15" hidden="1" x14ac:dyDescent="0.2">
      <c r="B403" s="2" t="s">
        <v>405</v>
      </c>
      <c r="H403" s="5">
        <f>IF((ROUND((H398*'COEFICIENTES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ALTERAR'!E13*(1+('COEFICIENTES A ALTERAR'!E36*0.05))*('SIMULADOR - DADOS'!F22*'SIMULADOR - DADOS'!F24*'SIMULADOR - DADOS'!F25*'SIMULADOR - DADOS'!F26*'SIMULADOR - DADOS'!F27*'SIMULADOR - DADOS'!I24)),-1))</f>
        <v>220</v>
      </c>
      <c r="K403" s="5">
        <f>IF((ROUND((H398*'COEFICIENTES A ALTERAR'!E13*('SIMULADOR - DADOS'!F22*'SIMULADOR - DADOS'!F24*'SIMULADOR - DADOS'!F25*'SIMULADOR - DADOS'!F26*'SIMULADOR - DADOS'!F27*'SIMULADOR - DADOS'!I24)),-1))&lt;ROUND(('COEFICIENTES A ALTERAR'!E29),-1),ROUND(('COEFICIENTES A ALTERAR'!E29),-1),ROUND((H398*'COEFICIENTES A ALTERAR'!E13*('SIMULADOR - DADOS'!F22*'SIMULADOR - DADOS'!F24*'SIMULADOR - DADOS'!F25*'SIMULADOR - DADOS'!F26*'SIMULADOR - DADOS'!F27*'SIMULADOR - DADOS'!I24)),-1))</f>
        <v>220</v>
      </c>
      <c r="N403" s="68">
        <f t="shared" si="9"/>
        <v>0</v>
      </c>
      <c r="O403" s="68">
        <f t="shared" ref="O403:O409" si="10">IF(N403&gt;N402,N403,N402)</f>
        <v>0</v>
      </c>
    </row>
    <row r="404" spans="2:15" s="2" customFormat="1" ht="15" hidden="1" x14ac:dyDescent="0.2">
      <c r="B404" s="2" t="s">
        <v>406</v>
      </c>
      <c r="H404" s="5">
        <f>IF((ROUND((H398*'COEFICIENTES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ALTERAR'!E15*(1+('COEFICIENTES A ALTERAR'!E36*0.05))*('SIMULADOR - DADOS'!F22*'SIMULADOR - DADOS'!F24*'SIMULADOR - DADOS'!F25*'SIMULADOR - DADOS'!F26*'SIMULADOR - DADOS'!F27*'SIMULADOR - DADOS'!I24)),-1))</f>
        <v>220</v>
      </c>
      <c r="K404" s="5">
        <f>IF((ROUND((H398*'COEFICIENTES A ALTERAR'!E15*('SIMULADOR - DADOS'!F22*'SIMULADOR - DADOS'!F24*'SIMULADOR - DADOS'!F25*'SIMULADOR - DADOS'!F26*'SIMULADOR - DADOS'!F27*'SIMULADOR - DADOS'!I24)),-1))&lt;ROUND(('COEFICIENTES A ALTERAR'!E29),-1),ROUND(('COEFICIENTES A ALTERAR'!E29),-1),ROUND((H398*'COEFICIENTES A ALTERAR'!E15*('SIMULADOR - DADOS'!F22*'SIMULADOR - DADOS'!F24*'SIMULADOR - DADOS'!F25*'SIMULADOR - DADOS'!F26*'SIMULADOR - DADOS'!F27*'SIMULADOR - DADOS'!I24)),-1))</f>
        <v>220</v>
      </c>
      <c r="N404" s="68">
        <f t="shared" si="9"/>
        <v>0</v>
      </c>
      <c r="O404" s="68">
        <f t="shared" si="10"/>
        <v>0</v>
      </c>
    </row>
    <row r="405" spans="2:15" s="2" customFormat="1" ht="15" hidden="1" x14ac:dyDescent="0.2">
      <c r="B405" s="2" t="s">
        <v>407</v>
      </c>
      <c r="H405" s="5">
        <f>IF((ROUND((H398*'COEFICIENTES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ALTERAR'!E17*(1+('COEFICIENTES A ALTERAR'!E36*0.05))*('SIMULADOR - DADOS'!F22*'SIMULADOR - DADOS'!F24*'SIMULADOR - DADOS'!F25*'SIMULADOR - DADOS'!F26*'SIMULADOR - DADOS'!F27*'SIMULADOR - DADOS'!I24)),-1))</f>
        <v>220</v>
      </c>
      <c r="K405" s="5">
        <f>IF((ROUND((H398*'COEFICIENTES A ALTERAR'!E17*('SIMULADOR - DADOS'!F22*'SIMULADOR - DADOS'!F24*'SIMULADOR - DADOS'!F25*'SIMULADOR - DADOS'!F26*'SIMULADOR - DADOS'!F27*'SIMULADOR - DADOS'!I24)),-1))&lt;ROUND(('COEFICIENTES A ALTERAR'!E29),-1),ROUND(('COEFICIENTES A ALTERAR'!E29),-1),ROUND((H398*'COEFICIENTES A ALTERAR'!E17*('SIMULADOR - DADOS'!F22*'SIMULADOR - DADOS'!F24*'SIMULADOR - DADOS'!F25*'SIMULADOR - DADOS'!F26*'SIMULADOR - DADOS'!F27*'SIMULADOR - DADOS'!I24)),-1))</f>
        <v>220</v>
      </c>
      <c r="N405" s="68">
        <f t="shared" si="9"/>
        <v>0</v>
      </c>
      <c r="O405" s="68">
        <f t="shared" si="10"/>
        <v>0</v>
      </c>
    </row>
    <row r="406" spans="2:15" s="2" customFormat="1" ht="15" hidden="1" x14ac:dyDescent="0.2">
      <c r="B406" s="2" t="s">
        <v>408</v>
      </c>
      <c r="H406" s="5">
        <f>IF((ROUND((H398*'COEFICIENTES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ALTERAR'!E19*(1+('COEFICIENTES A ALTERAR'!E36*0.05))*('SIMULADOR - DADOS'!F22*'SIMULADOR - DADOS'!F24*'SIMULADOR - DADOS'!F25*'SIMULADOR - DADOS'!F26*'SIMULADOR - DADOS'!F27*'SIMULADOR - DADOS'!I24)),-1))</f>
        <v>220</v>
      </c>
      <c r="K406" s="5">
        <f>IF((ROUND((H398*'COEFICIENTES A ALTERAR'!E19*('SIMULADOR - DADOS'!F22*'SIMULADOR - DADOS'!F24*'SIMULADOR - DADOS'!F25*'SIMULADOR - DADOS'!F26*'SIMULADOR - DADOS'!F27*'SIMULADOR - DADOS'!I24)),-1))&lt;ROUND(('COEFICIENTES A ALTERAR'!E29),-1),ROUND(('COEFICIENTES A ALTERAR'!E29),-1),ROUND((H398*'COEFICIENTES A ALTERAR'!E19*('SIMULADOR - DADOS'!F22*'SIMULADOR - DADOS'!F24*'SIMULADOR - DADOS'!F25*'SIMULADOR - DADOS'!F26*'SIMULADOR - DADOS'!F27*'SIMULADOR - DADOS'!I24)),-1))</f>
        <v>220</v>
      </c>
      <c r="N406" s="68">
        <f t="shared" si="9"/>
        <v>0</v>
      </c>
      <c r="O406" s="68">
        <f t="shared" si="10"/>
        <v>0</v>
      </c>
    </row>
    <row r="407" spans="2:15" s="2" customFormat="1" ht="15" hidden="1" x14ac:dyDescent="0.2">
      <c r="B407" s="2" t="s">
        <v>409</v>
      </c>
      <c r="H407" s="5" t="e">
        <f>IF((ROUND((H398/'SIMULADOR - DADOS'!E17*'COEFICIENTES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ALTERAR'!E29),-1),ROUND((H398/'SIMULADOR - DADOS'!E17*'COEFICIENTES A ALTERAR'!E21*(1+('COEFICIENTES A ALTERAR'!E36*0.05))*('SIMULADOR - DADOS'!F22*'SIMULADOR - DADOS'!F24*'SIMULADOR - DADOS'!F25*'SIMULADOR - DADOS'!F26*'SIMULADOR - DADOS'!F27*'SIMULADOR - DADOS'!I24)),-1))</f>
        <v>#DIV/0!</v>
      </c>
      <c r="K407" s="5" t="e">
        <f>IF((ROUND((H398/'SIMULADOR - DADOS'!E17*'COEFICIENTES A ALTERAR'!E21*('SIMULADOR - DADOS'!F22*'SIMULADOR - DADOS'!F24*'SIMULADOR - DADOS'!F25*'SIMULADOR - DADOS'!F26*'SIMULADOR - DADOS'!F27*'SIMULADOR - DADOS'!I24)),-1))&lt;ROUND(('COEFICIENTES A ALTERAR'!E29),-1),ROUND(('COEFICIENTES A ALTERAR'!E29),-1),ROUND((H398/'SIMULADOR - DADOS'!E17*'COEFICIENTES A ALTERAR'!E21*('SIMULADOR - DADOS'!F22*'SIMULADOR - DADOS'!F24*'SIMULADOR - DADOS'!F25*'SIMULADOR - DADOS'!F26*'SIMULADOR - DADOS'!F27*'SIMULADOR - DADOS'!I24)),-1))</f>
        <v>#DIV/0!</v>
      </c>
      <c r="N407" s="68" t="e">
        <f t="shared" si="9"/>
        <v>#DIV/0!</v>
      </c>
      <c r="O407" s="68" t="e">
        <f t="shared" si="10"/>
        <v>#DIV/0!</v>
      </c>
    </row>
    <row r="408" spans="2:15" s="2" customFormat="1" ht="15" hidden="1" x14ac:dyDescent="0.2">
      <c r="B408" s="2" t="s">
        <v>410</v>
      </c>
      <c r="H408" s="5">
        <f>IF((ROUND((H398*'COEFICIENTES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ALTERAR'!E29),-1),ROUND((H398*'COEFICIENTES A ALTERAR'!E23*(1+('COEFICIENTES A ALTERAR'!E36*0.05))*('SIMULADOR - DADOS'!F22*'SIMULADOR - DADOS'!F24*'SIMULADOR - DADOS'!F25*'SIMULADOR - DADOS'!F26*'SIMULADOR - DADOS'!F27*'SIMULADOR - DADOS'!I24)),-1))</f>
        <v>220</v>
      </c>
      <c r="K408" s="5">
        <f>IF((ROUND((H398*'COEFICIENTES A ALTERAR'!E23*('SIMULADOR - DADOS'!F22*'SIMULADOR - DADOS'!F24*'SIMULADOR - DADOS'!F25*'SIMULADOR - DADOS'!F26*'SIMULADOR - DADOS'!F27*'SIMULADOR - DADOS'!I24)),-1))&lt;ROUND(('COEFICIENTES A ALTERAR'!E29),-1),ROUND(('COEFICIENTES A ALTERAR'!E29),-1),ROUND((H398*'COEFICIENTES A ALTERAR'!E23*('SIMULADOR - DADOS'!F22*'SIMULADOR - DADOS'!F24*'SIMULADOR - DADOS'!F25*'SIMULADOR - DADOS'!F26*'SIMULADOR - DADOS'!F27*'SIMULADOR - DADOS'!I24)),-1))</f>
        <v>220</v>
      </c>
      <c r="N408" s="68">
        <f t="shared" si="9"/>
        <v>0</v>
      </c>
      <c r="O408" s="68" t="e">
        <f t="shared" si="10"/>
        <v>#DIV/0!</v>
      </c>
    </row>
    <row r="409" spans="2:15" s="2" customFormat="1" ht="15" hidden="1" x14ac:dyDescent="0.2">
      <c r="B409" s="2" t="s">
        <v>411</v>
      </c>
      <c r="H409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409" s="5">
        <f>ROUND(('COEFICIENTES A ALTERAR'!E27*'SIMULADOR - DADOS'!E17*('SIMULADOR - DADOS'!F22*'SIMULADOR - DADOS'!F24*'SIMULADOR - DADOS'!F25*'SIMULADOR - DADOS'!F26*'SIMULADOR - DADOS'!F27*'SIMULADOR - DADOS'!I24)),-1)</f>
        <v>0</v>
      </c>
      <c r="N409" s="68" t="e">
        <f t="shared" si="9"/>
        <v>#DIV/0!</v>
      </c>
      <c r="O409" s="68" t="e">
        <f t="shared" si="10"/>
        <v>#DIV/0!</v>
      </c>
    </row>
    <row r="410" spans="2:15" s="2" customFormat="1" ht="15" hidden="1" x14ac:dyDescent="0.2">
      <c r="B410" s="2" t="s">
        <v>431</v>
      </c>
      <c r="H410" s="5">
        <f>ROUND(('COEFICIENTES A ALTERAR'!E31*(1.5^(O412-1))*(1+('COEFICIENTES A ALTERAR'!E36*0.05))*('SIMULADOR - DADOS'!F22*'SIMULADOR - DADOS'!F24*'SIMULADOR - DADOS'!F25*'SIMULADOR - DADOS'!F26*'SIMULADOR - DADOS'!F27*'SIMULADOR - DADOS'!I24)),-1)</f>
        <v>0</v>
      </c>
      <c r="K410" s="5"/>
      <c r="N410" s="68"/>
      <c r="O410" s="68"/>
    </row>
    <row r="411" spans="2:15" s="2" customFormat="1" ht="15" hidden="1" x14ac:dyDescent="0.2">
      <c r="B411" s="2" t="s">
        <v>432</v>
      </c>
      <c r="H411" s="5">
        <f>IF(H410/2&lt;'COEFICIENTES A ALTERAR'!E31,ROUND(('COEFICIENTES A ALTERAR'!E31),-1),H410/2)</f>
        <v>100</v>
      </c>
      <c r="K411" s="5"/>
      <c r="N411" s="68"/>
      <c r="O411" s="68"/>
    </row>
    <row r="412" spans="2:15" s="2" customFormat="1" ht="15" hidden="1" x14ac:dyDescent="0.2">
      <c r="B412" s="2" t="s">
        <v>433</v>
      </c>
      <c r="H412" s="5">
        <f>ROUND(('COEFICIENTES A ALTERAR'!E33*(1.5^(O412-1))*(1+('COEFICIENTES A ALTERAR'!E36*0.05))*('SIMULADOR - DADOS'!F22*'SIMULADOR - DADOS'!F24*'SIMULADOR - DADOS'!F25*'SIMULADOR - DADOS'!F26*'SIMULADOR - DADOS'!F27*'SIMULADOR - DADOS'!I24)),-1)</f>
        <v>0</v>
      </c>
      <c r="J412" s="126">
        <f>H398*'COEFICIENTES A ALTERAR'!E39</f>
        <v>0</v>
      </c>
      <c r="K412" s="127"/>
      <c r="N412" s="68" t="s">
        <v>444</v>
      </c>
      <c r="O412" s="55">
        <f>IF(J412&lt;'COEFICIENTES A ALTERAR'!E40,1,IF('SIMULADOR - CUSTO PROJETOS'!J412&lt;'COEFICIENTES A ALTERAR'!E41,2,IF('SIMULADOR - CUSTO PROJETOS'!J412&lt;'COEFICIENTES A ALTERAR'!E42,3,IF('SIMULADOR - CUSTO PROJETOS'!J412&lt;'COEFICIENTES A ALTERAR'!E43,4,IF('SIMULADOR - CUSTO PROJETOS'!J412&lt;'COEFICIENTES A ALTERAR'!E44,5,IF('SIMULADOR - CUSTO PROJETOS'!J412&lt;'COEFICIENTES A ALTERAR'!E45,6,IF('SIMULADOR - CUSTO PROJETOS'!J412&lt;'COEFICIENTES A ALTERAR'!E46,7,IF('SIMULADOR - CUSTO PROJETOS'!J412&lt;'COEFICIENTES A ALTERAR'!E47,8,9))))))))</f>
        <v>1</v>
      </c>
    </row>
    <row r="413" spans="2:15" hidden="1" x14ac:dyDescent="0.2"/>
    <row r="414" spans="2:15" hidden="1" x14ac:dyDescent="0.2"/>
    <row r="415" spans="2:15" hidden="1" x14ac:dyDescent="0.2"/>
    <row r="416" spans="2:15" ht="15" hidden="1" x14ac:dyDescent="0.2">
      <c r="B416" s="2" t="s">
        <v>468</v>
      </c>
      <c r="H416" s="55">
        <f>(0.375*'SIMULADOR - DADOS'!E15)+(0.75*'SIMULADOR - DADOS'!E15*(0.5^'SIMULADOR - DADOS'!E17))</f>
        <v>0</v>
      </c>
      <c r="I416" s="2" t="s">
        <v>446</v>
      </c>
      <c r="K416" s="32"/>
      <c r="L416" s="32"/>
    </row>
    <row r="417" spans="2:15" ht="15" hidden="1" x14ac:dyDescent="0.2">
      <c r="B417" s="2" t="s">
        <v>451</v>
      </c>
      <c r="H417" s="55">
        <f>(H416*2)+(('SIMULADOR - DADOS'!E18-'SIMULADOR - CUSTO PROJETOS'!H416)*0.2)</f>
        <v>0</v>
      </c>
      <c r="I417" s="2" t="s">
        <v>446</v>
      </c>
      <c r="K417" s="32"/>
      <c r="L417" s="32"/>
    </row>
    <row r="418" spans="2:15" s="2" customFormat="1" ht="15" hidden="1" x14ac:dyDescent="0.2">
      <c r="B418" s="2" t="s">
        <v>378</v>
      </c>
      <c r="H418" s="5">
        <f>IF((ROUND((H417*'COEFICIENTES A ALTERAR'!E7*0.1*('SIMULADOR - DADOS'!F22*'SIMULADOR - DADOS'!F24*'SIMULADOR - DADOS'!F25*'SIMULADOR - DADOS'!F26*'SIMULADOR - DADOS'!F27*'SIMULADOR - DADOS'!I24)),-1))&lt;ROUND(('COEFICIENTES A ALTERAR'!E29),-1),ROUND(('COEFICIENTES A ALTERAR'!E29),-1),ROUND((H417*'COEFICIENTES A ALTERAR'!E7*0.1*('SIMULADOR - DADOS'!F22*'SIMULADOR - DADOS'!F24*'SIMULADOR - DADOS'!F25*'SIMULADOR - DADOS'!F26*'SIMULADOR - DADOS'!F27*'SIMULADOR - DADOS'!I24)),-1))</f>
        <v>220</v>
      </c>
      <c r="K418" s="5"/>
      <c r="N418" s="68"/>
    </row>
    <row r="419" spans="2:15" s="2" customFormat="1" ht="15" hidden="1" x14ac:dyDescent="0.2">
      <c r="B419" s="2" t="s">
        <v>395</v>
      </c>
      <c r="H419" s="5">
        <f>IF((ROUND((H416*'COEFICIENTES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ALTERAR'!E7*(1+('COEFICIENTES A ALTERAR'!E36*0.05))*('SIMULADOR - DADOS'!F22*'SIMULADOR - DADOS'!F24*'SIMULADOR - DADOS'!F25*'SIMULADOR - DADOS'!F26*'SIMULADOR - DADOS'!F27*'SIMULADOR - DADOS'!I24)),-1))</f>
        <v>220</v>
      </c>
      <c r="K419" s="5">
        <f>IF((ROUND((H416*'COEFICIENTES A ALTERAR'!E7*('SIMULADOR - DADOS'!F22*'SIMULADOR - DADOS'!F24*'SIMULADOR - DADOS'!F25*'SIMULADOR - DADOS'!F26*'SIMULADOR - DADOS'!F27*'SIMULADOR - DADOS'!I24)),-1))&lt;ROUND(('COEFICIENTES A ALTERAR'!E29),-1),ROUND(('COEFICIENTES A ALTERAR'!E29),-1),ROUND((H416*'COEFICIENTES A ALTERAR'!E7*('SIMULADOR - DADOS'!F22*'SIMULADOR - DADOS'!F24*'SIMULADOR - DADOS'!F25*'SIMULADOR - DADOS'!F26*'SIMULADOR - DADOS'!F27*'SIMULADOR - DADOS'!I24)),-1))</f>
        <v>220</v>
      </c>
      <c r="N419" s="68">
        <f>ROUND(((K419/H419)-1),1)</f>
        <v>0</v>
      </c>
    </row>
    <row r="420" spans="2:15" s="2" customFormat="1" ht="15" hidden="1" x14ac:dyDescent="0.2">
      <c r="B420" s="2" t="s">
        <v>426</v>
      </c>
      <c r="H420" s="5">
        <f>IF((ROUND((H416*'COEFICIENTES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ALTERAR'!E11*(1+('COEFICIENTES A ALTERAR'!E36*0.05))*('SIMULADOR - DADOS'!F22*'SIMULADOR - DADOS'!F24*'SIMULADOR - DADOS'!F25*'SIMULADOR - DADOS'!F26*'SIMULADOR - DADOS'!F27*'SIMULADOR - DADOS'!I24)),-1))</f>
        <v>220</v>
      </c>
      <c r="K420" s="5">
        <f>IF((ROUND((H416*'COEFICIENTES A ALTERAR'!E11*('SIMULADOR - DADOS'!F22*'SIMULADOR - DADOS'!F24*'SIMULADOR - DADOS'!F25*'SIMULADOR - DADOS'!F26*'SIMULADOR - DADOS'!F27*'SIMULADOR - DADOS'!I24)),-1))&lt;ROUND(('COEFICIENTES A ALTERAR'!E29),-1),ROUND(('COEFICIENTES A ALTERAR'!E29),-1),ROUND((H416*'COEFICIENTES A ALTERAR'!E11*('SIMULADOR - DADOS'!F22*'SIMULADOR - DADOS'!F24*'SIMULADOR - DADOS'!F25*'SIMULADOR - DADOS'!F26*'SIMULADOR - DADOS'!F27*'SIMULADOR - DADOS'!I24)),-1))</f>
        <v>220</v>
      </c>
      <c r="N420" s="68">
        <f>ROUND(((K420/H420)-1),1)</f>
        <v>0</v>
      </c>
      <c r="O420" s="68"/>
    </row>
    <row r="421" spans="2:15" s="2" customFormat="1" ht="15" hidden="1" x14ac:dyDescent="0.2">
      <c r="B421" s="2" t="s">
        <v>405</v>
      </c>
      <c r="H421" s="5">
        <f>IF((ROUND((H416*'COEFICIENTES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ALTERAR'!E13*(1+('COEFICIENTES A ALTERAR'!E36*0.05))*('SIMULADOR - DADOS'!F22*'SIMULADOR - DADOS'!F24*'SIMULADOR - DADOS'!F25*'SIMULADOR - DADOS'!F26*'SIMULADOR - DADOS'!F27*'SIMULADOR - DADOS'!I24)),-1))</f>
        <v>220</v>
      </c>
      <c r="K421" s="5">
        <f>IF((ROUND((H416*'COEFICIENTES A ALTERAR'!E13*('SIMULADOR - DADOS'!F22*'SIMULADOR - DADOS'!F24*'SIMULADOR - DADOS'!F25*'SIMULADOR - DADOS'!F26*'SIMULADOR - DADOS'!F27*'SIMULADOR - DADOS'!I24)),-1))&lt;ROUND(('COEFICIENTES A ALTERAR'!E29),-1),ROUND(('COEFICIENTES A ALTERAR'!E29),-1),ROUND((H416*'COEFICIENTES A ALTERAR'!E13*('SIMULADOR - DADOS'!F22*'SIMULADOR - DADOS'!F24*'SIMULADOR - DADOS'!F25*'SIMULADOR - DADOS'!F26*'SIMULADOR - DADOS'!F27*'SIMULADOR - DADOS'!I24)),-1))</f>
        <v>220</v>
      </c>
      <c r="N421" s="68">
        <f>ROUND(((K421/H421)-1),1)</f>
        <v>0</v>
      </c>
      <c r="O421" s="68">
        <f>IF(N421&gt;N420,N421,N420)</f>
        <v>0</v>
      </c>
    </row>
    <row r="422" spans="2:15" s="2" customFormat="1" ht="15" hidden="1" x14ac:dyDescent="0.2">
      <c r="B422" s="2" t="s">
        <v>406</v>
      </c>
      <c r="H422" s="5">
        <f>IF((ROUND((H416*'COEFICIENTES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ALTERAR'!E15*(1+('COEFICIENTES A ALTERAR'!E36*0.05))*('SIMULADOR - DADOS'!F22*'SIMULADOR - DADOS'!F24*'SIMULADOR - DADOS'!F25*'SIMULADOR - DADOS'!F26*'SIMULADOR - DADOS'!F27*'SIMULADOR - DADOS'!I24)),-1))</f>
        <v>220</v>
      </c>
      <c r="K422" s="5">
        <f>IF((ROUND((H416*'COEFICIENTES A ALTERAR'!E15*('SIMULADOR - DADOS'!F22*'SIMULADOR - DADOS'!F24*'SIMULADOR - DADOS'!F25*'SIMULADOR - DADOS'!F26*'SIMULADOR - DADOS'!F27*'SIMULADOR - DADOS'!I24)),-1))&lt;ROUND(('COEFICIENTES A ALTERAR'!E29),-1),ROUND(('COEFICIENTES A ALTERAR'!E29),-1),ROUND((H416*'COEFICIENTES A ALTERAR'!E15*('SIMULADOR - DADOS'!F22*'SIMULADOR - DADOS'!F24*'SIMULADOR - DADOS'!F25*'SIMULADOR - DADOS'!F26*'SIMULADOR - DADOS'!F27*'SIMULADOR - DADOS'!I24)),-1))</f>
        <v>220</v>
      </c>
      <c r="N422" s="68">
        <f>ROUND(((K422/H422)-1),1)</f>
        <v>0</v>
      </c>
      <c r="O422" s="68">
        <f>IF(N422&gt;N421,N422,N421)</f>
        <v>0</v>
      </c>
    </row>
    <row r="423" spans="2:15" s="2" customFormat="1" ht="15" hidden="1" x14ac:dyDescent="0.2">
      <c r="B423" s="2" t="s">
        <v>407</v>
      </c>
      <c r="H423" s="5"/>
      <c r="K423" s="5"/>
      <c r="N423" s="68"/>
      <c r="O423" s="68"/>
    </row>
    <row r="424" spans="2:15" s="2" customFormat="1" ht="15" hidden="1" x14ac:dyDescent="0.2">
      <c r="B424" s="2" t="s">
        <v>408</v>
      </c>
      <c r="H424" s="5">
        <f>IF((ROUND((H416*'COEFICIENTES A ALTERAR'!E19*(1+('COEFICIENTES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ALTERAR'!E19*(1+('COEFICIENTES A ALTERAR'!E36*0.05))*('SIMULADOR - DADOS'!F22*'SIMULADOR - DADOS'!F24*'SIMULADOR - DADOS'!F25*'SIMULADOR - DADOS'!F26*'SIMULADOR - DADOS'!F27*'SIMULADOR - DADOS'!I24)),-1))</f>
        <v>220</v>
      </c>
      <c r="K424" s="5">
        <f>IF((ROUND((H416*'COEFICIENTES A ALTERAR'!E19*('SIMULADOR - DADOS'!F22*'SIMULADOR - DADOS'!F24*'SIMULADOR - DADOS'!F25*'SIMULADOR - DADOS'!F26*'SIMULADOR - DADOS'!F27*'SIMULADOR - DADOS'!I24)),-1))&lt;ROUND(('COEFICIENTES A ALTERAR'!E29),-1),ROUND(('COEFICIENTES A ALTERAR'!E29),-1),ROUND((H416*'COEFICIENTES A ALTERAR'!E19*('SIMULADOR - DADOS'!F22*'SIMULADOR - DADOS'!F24*'SIMULADOR - DADOS'!F25*'SIMULADOR - DADOS'!F26*'SIMULADOR - DADOS'!F27*'SIMULADOR - DADOS'!I24)),-1))</f>
        <v>220</v>
      </c>
      <c r="N424" s="68">
        <f>ROUND(((K424/H424)-1),1)</f>
        <v>0</v>
      </c>
      <c r="O424" s="68">
        <f>IF(N424&gt;N422,N424,N422)</f>
        <v>0</v>
      </c>
    </row>
    <row r="425" spans="2:15" s="2" customFormat="1" ht="15" hidden="1" x14ac:dyDescent="0.2">
      <c r="B425" s="2" t="s">
        <v>409</v>
      </c>
      <c r="H425" s="5" t="e">
        <f>IF((ROUND((H416/'SIMULADOR - DADOS'!E17*'COEFICIENTES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ALTERAR'!E29),-1),ROUND((H416/'SIMULADOR - DADOS'!E17*'COEFICIENTES A ALTERAR'!E21*(1+('COEFICIENTES A ALTERAR'!E36*0.05))*('SIMULADOR - DADOS'!F22*'SIMULADOR - DADOS'!F24*'SIMULADOR - DADOS'!F25*'SIMULADOR - DADOS'!F26*'SIMULADOR - DADOS'!F27*'SIMULADOR - DADOS'!I24)),-1))</f>
        <v>#DIV/0!</v>
      </c>
      <c r="K425" s="5">
        <f>IF((ROUND((H416*'COEFICIENTES A ALTERAR'!E23*('SIMULADOR - DADOS'!F22*'SIMULADOR - DADOS'!F24*'SIMULADOR - DADOS'!F25*'SIMULADOR - DADOS'!F26*'SIMULADOR - DADOS'!F27*'SIMULADOR - DADOS'!I24)),-1))&lt;ROUND(('COEFICIENTES A ALTERAR'!E29),-1),ROUND(('COEFICIENTES A ALTERAR'!E29),-1),ROUND((H416*'COEFICIENTES A ALTERAR'!E23*('SIMULADOR - DADOS'!F22*'SIMULADOR - DADOS'!F24*'SIMULADOR - DADOS'!F25*'SIMULADOR - DADOS'!F26*'SIMULADOR - DADOS'!F27*'SIMULADOR - DADOS'!I24)),-1))</f>
        <v>220</v>
      </c>
      <c r="N425" s="68" t="e">
        <f>ROUND(((K425/H425)-1),1)</f>
        <v>#DIV/0!</v>
      </c>
      <c r="O425" s="68" t="e">
        <f>IF(N425&gt;N424,N425,N424)</f>
        <v>#DIV/0!</v>
      </c>
    </row>
    <row r="426" spans="2:15" s="2" customFormat="1" ht="15" hidden="1" x14ac:dyDescent="0.2">
      <c r="B426" s="2" t="s">
        <v>410</v>
      </c>
      <c r="H426" s="5">
        <f>IF((ROUND((H416*'COEFICIENTES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ALTERAR'!E29),-1),ROUND((H416*'COEFICIENTES A ALTERAR'!E23*(1+('COEFICIENTES A ALTERAR'!E36*0.05))*('SIMULADOR - DADOS'!F22*'SIMULADOR - DADOS'!F24*'SIMULADOR - DADOS'!F25*'SIMULADOR - DADOS'!F26*'SIMULADOR - DADOS'!F27*'SIMULADOR - DADOS'!I24)),-1))</f>
        <v>220</v>
      </c>
      <c r="K426" s="5">
        <f>IF((ROUND((H416*'COEFICIENTES A ALTERAR'!E23*('SIMULADOR - DADOS'!F22*'SIMULADOR - DADOS'!F24*'SIMULADOR - DADOS'!F25*'SIMULADOR - DADOS'!F26*'SIMULADOR - DADOS'!F27*'SIMULADOR - DADOS'!I24)),-1))&lt;ROUND(('COEFICIENTES A ALTERAR'!E29),-1),ROUND(('COEFICIENTES A ALTERAR'!E29),-1),ROUND((H416*'COEFICIENTES A ALTERAR'!E23*('SIMULADOR - DADOS'!F22*'SIMULADOR - DADOS'!F24*'SIMULADOR - DADOS'!F25*'SIMULADOR - DADOS'!F26*'SIMULADOR - DADOS'!F27*'SIMULADOR - DADOS'!I24)),-1))</f>
        <v>220</v>
      </c>
      <c r="N426" s="68">
        <f>ROUND(((K426/H426)-1),1)</f>
        <v>0</v>
      </c>
      <c r="O426" s="68" t="e">
        <f>IF(N426&gt;N425,N426,N425)</f>
        <v>#DIV/0!</v>
      </c>
    </row>
    <row r="427" spans="2:15" s="2" customFormat="1" ht="15" hidden="1" x14ac:dyDescent="0.2">
      <c r="B427" s="2" t="s">
        <v>411</v>
      </c>
      <c r="H427" s="5"/>
      <c r="K427" s="5"/>
      <c r="N427" s="68"/>
      <c r="O427" s="68"/>
    </row>
    <row r="428" spans="2:15" s="2" customFormat="1" ht="15" hidden="1" x14ac:dyDescent="0.2">
      <c r="B428" s="2" t="s">
        <v>431</v>
      </c>
      <c r="H428" s="5"/>
      <c r="K428" s="5"/>
      <c r="N428" s="68"/>
      <c r="O428" s="68"/>
    </row>
    <row r="429" spans="2:15" s="2" customFormat="1" ht="15" hidden="1" x14ac:dyDescent="0.2">
      <c r="B429" s="2" t="s">
        <v>432</v>
      </c>
      <c r="H429" s="5"/>
      <c r="K429" s="5"/>
      <c r="N429" s="68"/>
      <c r="O429" s="68"/>
    </row>
    <row r="430" spans="2:15" s="2" customFormat="1" ht="15" hidden="1" x14ac:dyDescent="0.2">
      <c r="B430" s="2" t="s">
        <v>433</v>
      </c>
      <c r="H430" s="5"/>
      <c r="J430" s="126"/>
      <c r="K430" s="127"/>
      <c r="N430" s="68"/>
      <c r="O430" s="55"/>
    </row>
    <row r="431" spans="2:15" hidden="1" x14ac:dyDescent="0.2"/>
    <row r="432" spans="2:15" hidden="1" x14ac:dyDescent="0.2"/>
    <row r="433" spans="2:15" hidden="1" x14ac:dyDescent="0.2"/>
    <row r="434" spans="2:15" ht="15" hidden="1" x14ac:dyDescent="0.2">
      <c r="B434" s="2" t="s">
        <v>468</v>
      </c>
      <c r="H434" s="55">
        <f>(0.75*'SIMULADOR - DADOS'!E15)+(1.5*'SIMULADOR - DADOS'!E15*(0.5^'SIMULADOR - DADOS'!E17))</f>
        <v>0</v>
      </c>
      <c r="I434" s="2" t="s">
        <v>446</v>
      </c>
      <c r="K434" s="32"/>
      <c r="L434" s="32"/>
    </row>
    <row r="435" spans="2:15" ht="15" hidden="1" x14ac:dyDescent="0.2">
      <c r="B435" s="2" t="s">
        <v>451</v>
      </c>
      <c r="H435" s="55"/>
      <c r="I435" s="2"/>
      <c r="K435" s="32"/>
      <c r="L435" s="32"/>
    </row>
    <row r="436" spans="2:15" s="2" customFormat="1" ht="15" hidden="1" x14ac:dyDescent="0.2">
      <c r="B436" s="2" t="s">
        <v>378</v>
      </c>
      <c r="H436" s="5"/>
      <c r="K436" s="5"/>
      <c r="N436" s="68"/>
    </row>
    <row r="437" spans="2:15" s="2" customFormat="1" ht="15" hidden="1" x14ac:dyDescent="0.2">
      <c r="B437" s="2" t="s">
        <v>395</v>
      </c>
      <c r="H437" s="5">
        <f>IF((ROUND((H434*'COEFICIENTES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ALTERAR'!E29),-1),ROUND((H434*'COEFICIENTES A ALTERAR'!E7*(1+('COEFICIENTES A ALTERAR'!E36*0.05))*('SIMULADOR - DADOS'!F22*'SIMULADOR - DADOS'!F24*'SIMULADOR - DADOS'!F25*'SIMULADOR - DADOS'!F26*'SIMULADOR - DADOS'!F27*'SIMULADOR - DADOS'!I24)),-1))</f>
        <v>220</v>
      </c>
      <c r="K437" s="5">
        <f>IF((ROUND((H434*'COEFICIENTES A ALTERAR'!E7*('SIMULADOR - DADOS'!F22*'SIMULADOR - DADOS'!F24*'SIMULADOR - DADOS'!F25*'SIMULADOR - DADOS'!F26*'SIMULADOR - DADOS'!F27*'SIMULADOR - DADOS'!I24)),-1))&lt;ROUND(('COEFICIENTES A ALTERAR'!E29),-1),ROUND(('COEFICIENTES A ALTERAR'!E29),-1),ROUND((H434*'COEFICIENTES A ALTERAR'!E7*('SIMULADOR - DADOS'!F22*'SIMULADOR - DADOS'!F24*'SIMULADOR - DADOS'!F25*'SIMULADOR - DADOS'!F26*'SIMULADOR - DADOS'!F27*'SIMULADOR - DADOS'!I24)),-1))</f>
        <v>220</v>
      </c>
      <c r="N437" s="68">
        <f>ROUND(((K437/H437)-1),1)</f>
        <v>0</v>
      </c>
    </row>
    <row r="438" spans="2:15" s="2" customFormat="1" ht="15" hidden="1" x14ac:dyDescent="0.2">
      <c r="B438" s="2" t="s">
        <v>426</v>
      </c>
      <c r="H438" s="5"/>
      <c r="K438" s="5"/>
      <c r="N438" s="68"/>
      <c r="O438" s="68"/>
    </row>
    <row r="439" spans="2:15" s="2" customFormat="1" ht="15" hidden="1" x14ac:dyDescent="0.2">
      <c r="B439" s="2" t="s">
        <v>405</v>
      </c>
      <c r="H439" s="5"/>
      <c r="K439" s="5"/>
      <c r="N439" s="68"/>
      <c r="O439" s="68"/>
    </row>
    <row r="440" spans="2:15" s="2" customFormat="1" ht="15" hidden="1" x14ac:dyDescent="0.2">
      <c r="B440" s="2" t="s">
        <v>406</v>
      </c>
      <c r="H440" s="5"/>
      <c r="K440" s="5"/>
      <c r="N440" s="68"/>
      <c r="O440" s="68"/>
    </row>
    <row r="441" spans="2:15" s="2" customFormat="1" ht="15" hidden="1" x14ac:dyDescent="0.2">
      <c r="B441" s="2" t="s">
        <v>407</v>
      </c>
      <c r="H441" s="5"/>
      <c r="K441" s="5"/>
      <c r="N441" s="68"/>
      <c r="O441" s="68"/>
    </row>
    <row r="442" spans="2:15" s="2" customFormat="1" ht="15" hidden="1" x14ac:dyDescent="0.2">
      <c r="B442" s="2" t="s">
        <v>408</v>
      </c>
      <c r="H442" s="5"/>
      <c r="K442" s="5"/>
      <c r="N442" s="68"/>
      <c r="O442" s="68"/>
    </row>
    <row r="443" spans="2:15" s="2" customFormat="1" ht="15" hidden="1" x14ac:dyDescent="0.2">
      <c r="B443" s="2" t="s">
        <v>409</v>
      </c>
      <c r="H443" s="5"/>
      <c r="K443" s="5"/>
      <c r="N443" s="68"/>
      <c r="O443" s="68"/>
    </row>
    <row r="444" spans="2:15" s="2" customFormat="1" ht="15" hidden="1" x14ac:dyDescent="0.2">
      <c r="B444" s="2" t="s">
        <v>410</v>
      </c>
      <c r="H444" s="5"/>
      <c r="K444" s="5"/>
      <c r="N444" s="68"/>
      <c r="O444" s="68"/>
    </row>
    <row r="445" spans="2:15" s="2" customFormat="1" ht="15" hidden="1" x14ac:dyDescent="0.2">
      <c r="B445" s="2" t="s">
        <v>411</v>
      </c>
      <c r="H445" s="5"/>
      <c r="K445" s="5"/>
      <c r="N445" s="68"/>
      <c r="O445" s="68"/>
    </row>
    <row r="446" spans="2:15" s="2" customFormat="1" ht="15" hidden="1" x14ac:dyDescent="0.2">
      <c r="B446" s="2" t="s">
        <v>431</v>
      </c>
      <c r="H446" s="5"/>
      <c r="K446" s="5"/>
      <c r="N446" s="68"/>
      <c r="O446" s="68"/>
    </row>
    <row r="447" spans="2:15" s="2" customFormat="1" ht="15" hidden="1" x14ac:dyDescent="0.2">
      <c r="B447" s="2" t="s">
        <v>432</v>
      </c>
      <c r="H447" s="5"/>
      <c r="K447" s="5"/>
      <c r="N447" s="68"/>
      <c r="O447" s="68"/>
    </row>
    <row r="448" spans="2:15" s="2" customFormat="1" ht="15" hidden="1" x14ac:dyDescent="0.2">
      <c r="B448" s="2" t="s">
        <v>433</v>
      </c>
      <c r="H448" s="5"/>
      <c r="J448" s="126"/>
      <c r="K448" s="127"/>
      <c r="N448" s="68"/>
      <c r="O448" s="55"/>
    </row>
    <row r="449" spans="2:15" hidden="1" x14ac:dyDescent="0.2"/>
    <row r="450" spans="2:15" hidden="1" x14ac:dyDescent="0.2"/>
    <row r="451" spans="2:15" hidden="1" x14ac:dyDescent="0.2"/>
    <row r="452" spans="2:15" ht="15" hidden="1" x14ac:dyDescent="0.2">
      <c r="B452" s="2" t="s">
        <v>469</v>
      </c>
      <c r="H452" s="55">
        <f>'SIMULADOR - DADOS'!E15*(0.95^('SIMULADOR - DADOS'!E15/100))+('SIMULADOR - DADOS'!E15*(0.95^('SIMULADOR - DADOS'!E15/100))*(0.5*(0.5^'SIMULADOR - DADOS'!E17)))</f>
        <v>0</v>
      </c>
      <c r="I452" s="2" t="s">
        <v>446</v>
      </c>
      <c r="K452" s="32"/>
      <c r="L452" s="32"/>
    </row>
    <row r="453" spans="2:15" ht="15" hidden="1" x14ac:dyDescent="0.2">
      <c r="B453" s="2" t="s">
        <v>451</v>
      </c>
      <c r="H453" s="55">
        <f>(H452*2)+(('SIMULADOR - DADOS'!E18-'SIMULADOR - CUSTO PROJETOS'!H452)*0.2)</f>
        <v>0</v>
      </c>
      <c r="I453" s="2" t="s">
        <v>446</v>
      </c>
      <c r="K453" s="32"/>
      <c r="L453" s="32"/>
    </row>
    <row r="454" spans="2:15" s="2" customFormat="1" ht="15" hidden="1" x14ac:dyDescent="0.2">
      <c r="B454" s="2" t="s">
        <v>378</v>
      </c>
      <c r="H454" s="5">
        <f>IF((ROUND((H453*'COEFICIENTES A ALTERAR'!E7*0.1*('SIMULADOR - DADOS'!F22*'SIMULADOR - DADOS'!F24*'SIMULADOR - DADOS'!F25*'SIMULADOR - DADOS'!F26*'SIMULADOR - DADOS'!F27*'SIMULADOR - DADOS'!I24)),-1))&lt;ROUND(('COEFICIENTES A ALTERAR'!E29),-1),ROUND(('COEFICIENTES A ALTERAR'!E29),-1),ROUND((H453*'COEFICIENTES A ALTERAR'!E7*0.1*('SIMULADOR - DADOS'!F22*'SIMULADOR - DADOS'!F24*'SIMULADOR - DADOS'!F25*'SIMULADOR - DADOS'!F26*'SIMULADOR - DADOS'!F27*'SIMULADOR - DADOS'!I24)),-1))</f>
        <v>220</v>
      </c>
      <c r="K454" s="5"/>
      <c r="N454" s="68"/>
    </row>
    <row r="455" spans="2:15" s="2" customFormat="1" ht="15" hidden="1" x14ac:dyDescent="0.2">
      <c r="B455" s="2" t="s">
        <v>395</v>
      </c>
      <c r="H455" s="5">
        <f>IF((ROUND((H452*'COEFICIENTES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ALTERAR'!E7*(1+('COEFICIENTES A ALTERAR'!E36*0.05))*('SIMULADOR - DADOS'!F22*'SIMULADOR - DADOS'!F24*'SIMULADOR - DADOS'!F25*'SIMULADOR - DADOS'!F26*'SIMULADOR - DADOS'!F27*'SIMULADOR - DADOS'!I24)),-1))</f>
        <v>220</v>
      </c>
      <c r="K455" s="5">
        <f>IF((ROUND((H452*'COEFICIENTES A ALTERAR'!E7*('SIMULADOR - DADOS'!F22*'SIMULADOR - DADOS'!F24*'SIMULADOR - DADOS'!F25*'SIMULADOR - DADOS'!F26*'SIMULADOR - DADOS'!F27*'SIMULADOR - DADOS'!I24)),-1))&lt;ROUND(('COEFICIENTES A ALTERAR'!E29),-1),ROUND(('COEFICIENTES A ALTERAR'!E29),-1),ROUND((H452*'COEFICIENTES A ALTERAR'!E7*('SIMULADOR - DADOS'!F22*'SIMULADOR - DADOS'!F24*'SIMULADOR - DADOS'!F25*'SIMULADOR - DADOS'!F26*'SIMULADOR - DADOS'!F27*'SIMULADOR - DADOS'!I24)),-1))</f>
        <v>220</v>
      </c>
      <c r="N455" s="68">
        <f t="shared" ref="N455:N463" si="11">ROUND(((K455/H455)-1),1)</f>
        <v>0</v>
      </c>
    </row>
    <row r="456" spans="2:15" s="2" customFormat="1" ht="15" hidden="1" x14ac:dyDescent="0.2">
      <c r="B456" s="2" t="s">
        <v>426</v>
      </c>
      <c r="H456" s="5">
        <f>IF((ROUND((H452*'COEFICIENTES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ALTERAR'!E11*(1+('COEFICIENTES A ALTERAR'!E36*0.05))*('SIMULADOR - DADOS'!F22*'SIMULADOR - DADOS'!F24*'SIMULADOR - DADOS'!F25*'SIMULADOR - DADOS'!F26*'SIMULADOR - DADOS'!F27*'SIMULADOR - DADOS'!I24)),-1))</f>
        <v>220</v>
      </c>
      <c r="K456" s="5">
        <f>IF((ROUND((H452*'COEFICIENTES A ALTERAR'!E11*('SIMULADOR - DADOS'!F22*'SIMULADOR - DADOS'!F24*'SIMULADOR - DADOS'!F25*'SIMULADOR - DADOS'!F26*'SIMULADOR - DADOS'!F27*'SIMULADOR - DADOS'!I24)),-1))&lt;ROUND(('COEFICIENTES A ALTERAR'!E29),-1),ROUND(('COEFICIENTES A ALTERAR'!E29),-1),ROUND((H452*'COEFICIENTES A ALTERAR'!E11*('SIMULADOR - DADOS'!F22*'SIMULADOR - DADOS'!F24*'SIMULADOR - DADOS'!F25*'SIMULADOR - DADOS'!F26*'SIMULADOR - DADOS'!F27*'SIMULADOR - DADOS'!I24)),-1))</f>
        <v>220</v>
      </c>
      <c r="N456" s="68">
        <f t="shared" si="11"/>
        <v>0</v>
      </c>
      <c r="O456" s="68"/>
    </row>
    <row r="457" spans="2:15" s="2" customFormat="1" ht="15" hidden="1" x14ac:dyDescent="0.2">
      <c r="B457" s="2" t="s">
        <v>405</v>
      </c>
      <c r="H457" s="5">
        <f>IF((ROUND((H452*'COEFICIENTES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ALTERAR'!E13*(1+('COEFICIENTES A ALTERAR'!E36*0.05))*('SIMULADOR - DADOS'!F22*'SIMULADOR - DADOS'!F24*'SIMULADOR - DADOS'!F25*'SIMULADOR - DADOS'!F26*'SIMULADOR - DADOS'!F27*'SIMULADOR - DADOS'!I24)),-1))</f>
        <v>220</v>
      </c>
      <c r="K457" s="5">
        <f>IF((ROUND((H452*'COEFICIENTES A ALTERAR'!E13*('SIMULADOR - DADOS'!F22*'SIMULADOR - DADOS'!F24*'SIMULADOR - DADOS'!F25*'SIMULADOR - DADOS'!F26*'SIMULADOR - DADOS'!F27*'SIMULADOR - DADOS'!I24)),-1))&lt;ROUND(('COEFICIENTES A ALTERAR'!E29),-1),ROUND(('COEFICIENTES A ALTERAR'!E29),-1),ROUND((H452*'COEFICIENTES A ALTERAR'!E13*('SIMULADOR - DADOS'!F22*'SIMULADOR - DADOS'!F24*'SIMULADOR - DADOS'!F25*'SIMULADOR - DADOS'!F26*'SIMULADOR - DADOS'!F27*'SIMULADOR - DADOS'!I24)),-1))</f>
        <v>220</v>
      </c>
      <c r="N457" s="68">
        <f t="shared" si="11"/>
        <v>0</v>
      </c>
      <c r="O457" s="68">
        <f t="shared" ref="O457:O462" si="12">IF(N457&gt;N456,N457,N456)</f>
        <v>0</v>
      </c>
    </row>
    <row r="458" spans="2:15" s="2" customFormat="1" ht="15" hidden="1" x14ac:dyDescent="0.2">
      <c r="B458" s="2" t="s">
        <v>406</v>
      </c>
      <c r="H458" s="5">
        <f>IF((ROUND((H452*'COEFICIENTES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ALTERAR'!E15*(1+('COEFICIENTES A ALTERAR'!E36*0.05))*('SIMULADOR - DADOS'!F22*'SIMULADOR - DADOS'!F24*'SIMULADOR - DADOS'!F25*'SIMULADOR - DADOS'!F26*'SIMULADOR - DADOS'!F27*'SIMULADOR - DADOS'!I24)),-1))</f>
        <v>220</v>
      </c>
      <c r="K458" s="5">
        <f>IF((ROUND((H452*'COEFICIENTES A ALTERAR'!E15*('SIMULADOR - DADOS'!F22*'SIMULADOR - DADOS'!F24*'SIMULADOR - DADOS'!F25*'SIMULADOR - DADOS'!F26*'SIMULADOR - DADOS'!F27*'SIMULADOR - DADOS'!I24)),-1))&lt;ROUND(('COEFICIENTES A ALTERAR'!E29),-1),ROUND(('COEFICIENTES A ALTERAR'!E29),-1),ROUND((H452*'COEFICIENTES A ALTERAR'!E15*('SIMULADOR - DADOS'!F22*'SIMULADOR - DADOS'!F24*'SIMULADOR - DADOS'!F25*'SIMULADOR - DADOS'!F26*'SIMULADOR - DADOS'!F27*'SIMULADOR - DADOS'!I24)),-1))</f>
        <v>220</v>
      </c>
      <c r="N458" s="68">
        <f t="shared" si="11"/>
        <v>0</v>
      </c>
      <c r="O458" s="68">
        <f t="shared" si="12"/>
        <v>0</v>
      </c>
    </row>
    <row r="459" spans="2:15" s="2" customFormat="1" ht="15" hidden="1" x14ac:dyDescent="0.2">
      <c r="B459" s="2" t="s">
        <v>407</v>
      </c>
      <c r="H459" s="5"/>
      <c r="K459" s="5"/>
      <c r="N459" s="68"/>
      <c r="O459" s="68"/>
    </row>
    <row r="460" spans="2:15" s="2" customFormat="1" ht="15" hidden="1" x14ac:dyDescent="0.2">
      <c r="B460" s="2" t="s">
        <v>408</v>
      </c>
      <c r="H460" s="5"/>
      <c r="K460" s="5"/>
      <c r="N460" s="68"/>
      <c r="O460" s="68"/>
    </row>
    <row r="461" spans="2:15" s="2" customFormat="1" ht="15" hidden="1" x14ac:dyDescent="0.2">
      <c r="B461" s="2" t="s">
        <v>409</v>
      </c>
      <c r="H461" s="5">
        <f>IF((ROUND((H452*'COEFICIENTES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ALTERAR'!E21*(1+('COEFICIENTES A ALTERAR'!E36*0.05))*('SIMULADOR - DADOS'!F22*'SIMULADOR - DADOS'!F24*'SIMULADOR - DADOS'!F25*'SIMULADOR - DADOS'!F26*'SIMULADOR - DADOS'!F27*'SIMULADOR - DADOS'!I24)),-1))</f>
        <v>220</v>
      </c>
      <c r="K461" s="5">
        <f>IF((ROUND((H452*'COEFICIENTES A ALTERAR'!E21*('SIMULADOR - DADOS'!F22*'SIMULADOR - DADOS'!F24*'SIMULADOR - DADOS'!F25*'SIMULADOR - DADOS'!F26*'SIMULADOR - DADOS'!F27*'SIMULADOR - DADOS'!I24)),-1))&lt;ROUND(('COEFICIENTES A ALTERAR'!E29),-1),ROUND(('COEFICIENTES A ALTERAR'!E29),-1),ROUND((H452*'COEFICIENTES A ALTERAR'!E21*('SIMULADOR - DADOS'!F22*'SIMULADOR - DADOS'!F24*'SIMULADOR - DADOS'!F25*'SIMULADOR - DADOS'!F26*'SIMULADOR - DADOS'!F27*'SIMULADOR - DADOS'!I24)),-1))</f>
        <v>220</v>
      </c>
      <c r="N461" s="68">
        <f t="shared" si="11"/>
        <v>0</v>
      </c>
      <c r="O461" s="68">
        <f>IF(N461&gt;N458,N461,N458)</f>
        <v>0</v>
      </c>
    </row>
    <row r="462" spans="2:15" s="2" customFormat="1" ht="15" hidden="1" x14ac:dyDescent="0.2">
      <c r="B462" s="2" t="s">
        <v>410</v>
      </c>
      <c r="H462" s="5">
        <f>IF((ROUND((H452*'COEFICIENTES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ALTERAR'!E29),-1),ROUND((H452*'COEFICIENTES A ALTERAR'!E23*(1+('COEFICIENTES A ALTERAR'!E36*0.05))*('SIMULADOR - DADOS'!F22*'SIMULADOR - DADOS'!F24*'SIMULADOR - DADOS'!F25*'SIMULADOR - DADOS'!F26*'SIMULADOR - DADOS'!F27*'SIMULADOR - DADOS'!I24)),-1))</f>
        <v>220</v>
      </c>
      <c r="K462" s="5">
        <f>IF((ROUND((H452*'COEFICIENTES A ALTERAR'!E23*('SIMULADOR - DADOS'!F22*'SIMULADOR - DADOS'!F24*'SIMULADOR - DADOS'!F25*'SIMULADOR - DADOS'!F26*'SIMULADOR - DADOS'!F27*'SIMULADOR - DADOS'!I24)),-1))&lt;ROUND(('COEFICIENTES A ALTERAR'!E29),-1),ROUND(('COEFICIENTES A ALTERAR'!E29),-1),ROUND((H452*'COEFICIENTES A ALTERAR'!E23*('SIMULADOR - DADOS'!F22*'SIMULADOR - DADOS'!F24*'SIMULADOR - DADOS'!F25*'SIMULADOR - DADOS'!F26*'SIMULADOR - DADOS'!F27*'SIMULADOR - DADOS'!I24)),-1))</f>
        <v>220</v>
      </c>
      <c r="N462" s="68">
        <f t="shared" si="11"/>
        <v>0</v>
      </c>
      <c r="O462" s="68">
        <f t="shared" si="12"/>
        <v>0</v>
      </c>
    </row>
    <row r="463" spans="2:15" s="2" customFormat="1" ht="15" hidden="1" x14ac:dyDescent="0.2">
      <c r="B463" s="2" t="s">
        <v>411</v>
      </c>
      <c r="H463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463" s="5">
        <f>ROUND(('COEFICIENTES A ALTERAR'!E27*'SIMULADOR - DADOS'!E17*('SIMULADOR - DADOS'!F22*'SIMULADOR - DADOS'!F24*'SIMULADOR - DADOS'!F25*'SIMULADOR - DADOS'!F26*'SIMULADOR - DADOS'!F27*'SIMULADOR - DADOS'!I24)),-1)</f>
        <v>0</v>
      </c>
      <c r="N463" s="68" t="e">
        <f t="shared" si="11"/>
        <v>#DIV/0!</v>
      </c>
      <c r="O463" s="68" t="e">
        <f>IF(N463&gt;N462,N463,N462)</f>
        <v>#DIV/0!</v>
      </c>
    </row>
    <row r="464" spans="2:15" s="2" customFormat="1" ht="15" hidden="1" x14ac:dyDescent="0.2">
      <c r="B464" s="2" t="s">
        <v>431</v>
      </c>
      <c r="H464" s="5">
        <f>ROUND(('COEFICIENTES A ALTERAR'!E31*(1.5^(O466-1))*(1+('COEFICIENTES A ALTERAR'!E36*0.05))*('SIMULADOR - DADOS'!F22*'SIMULADOR - DADOS'!F24*'SIMULADOR - DADOS'!F25*'SIMULADOR - DADOS'!F26*'SIMULADOR - DADOS'!F27*'SIMULADOR - DADOS'!I24)),-1)</f>
        <v>0</v>
      </c>
      <c r="K464" s="5"/>
      <c r="N464" s="68"/>
      <c r="O464" s="68"/>
    </row>
    <row r="465" spans="2:15" s="2" customFormat="1" ht="15" hidden="1" x14ac:dyDescent="0.2">
      <c r="B465" s="2" t="s">
        <v>432</v>
      </c>
      <c r="H465" s="5">
        <f>IF(H464/2&lt;'COEFICIENTES A ALTERAR'!E31,ROUND(('COEFICIENTES A ALTERAR'!E31),-1),H464/2)</f>
        <v>100</v>
      </c>
      <c r="K465" s="5"/>
      <c r="N465" s="68"/>
      <c r="O465" s="68"/>
    </row>
    <row r="466" spans="2:15" s="2" customFormat="1" ht="15" hidden="1" x14ac:dyDescent="0.2">
      <c r="B466" s="2" t="s">
        <v>433</v>
      </c>
      <c r="H466" s="5">
        <f>ROUND(('COEFICIENTES A ALTERAR'!E33*(1.5^(O466-1))*(1+('COEFICIENTES A ALTERAR'!E36*0.05))*('SIMULADOR - DADOS'!F22*'SIMULADOR - DADOS'!F24*'SIMULADOR - DADOS'!F25*'SIMULADOR - DADOS'!F26*'SIMULADOR - DADOS'!F27*'SIMULADOR - DADOS'!I24)),-1)</f>
        <v>0</v>
      </c>
      <c r="J466" s="126">
        <f>H452*'COEFICIENTES A ALTERAR'!E39</f>
        <v>0</v>
      </c>
      <c r="K466" s="127"/>
      <c r="N466" s="68" t="s">
        <v>444</v>
      </c>
      <c r="O466" s="55">
        <f>IF(J466&lt;'COEFICIENTES A ALTERAR'!E40,1,IF('SIMULADOR - CUSTO PROJETOS'!J466&lt;'COEFICIENTES A ALTERAR'!E41,2,IF('SIMULADOR - CUSTO PROJETOS'!J466&lt;'COEFICIENTES A ALTERAR'!E42,3,IF('SIMULADOR - CUSTO PROJETOS'!J466&lt;'COEFICIENTES A ALTERAR'!E43,4,IF('SIMULADOR - CUSTO PROJETOS'!J466&lt;'COEFICIENTES A ALTERAR'!E44,5,IF('SIMULADOR - CUSTO PROJETOS'!J466&lt;'COEFICIENTES A ALTERAR'!E45,6,IF('SIMULADOR - CUSTO PROJETOS'!J466&lt;'COEFICIENTES A ALTERAR'!E46,7,IF('SIMULADOR - CUSTO PROJETOS'!J466&lt;'COEFICIENTES A ALTERAR'!E47,8,9))))))))</f>
        <v>1</v>
      </c>
    </row>
    <row r="467" spans="2:15" hidden="1" x14ac:dyDescent="0.2"/>
    <row r="468" spans="2:15" hidden="1" x14ac:dyDescent="0.2"/>
    <row r="469" spans="2:15" hidden="1" x14ac:dyDescent="0.2"/>
    <row r="470" spans="2:15" ht="15" hidden="1" x14ac:dyDescent="0.2">
      <c r="B470" s="2" t="s">
        <v>470</v>
      </c>
      <c r="H470" s="55">
        <f>'SIMULADOR - DADOS'!E15*(0.95^('SIMULADOR - DADOS'!E15/100))+('SIMULADOR - DADOS'!E15*(0.95^('SIMULADOR - DADOS'!E15/100))*(0.5*(0.5^'SIMULADOR - DADOS'!E17)))</f>
        <v>0</v>
      </c>
      <c r="I470" s="2" t="s">
        <v>446</v>
      </c>
      <c r="K470" s="32"/>
      <c r="L470" s="32"/>
    </row>
    <row r="471" spans="2:15" ht="15" hidden="1" x14ac:dyDescent="0.2">
      <c r="B471" s="2" t="s">
        <v>451</v>
      </c>
      <c r="H471" s="55"/>
      <c r="I471" s="2"/>
      <c r="K471" s="32"/>
      <c r="L471" s="32"/>
    </row>
    <row r="472" spans="2:15" s="2" customFormat="1" ht="15" hidden="1" x14ac:dyDescent="0.2">
      <c r="B472" s="2" t="s">
        <v>378</v>
      </c>
      <c r="H472" s="5"/>
      <c r="K472" s="5"/>
      <c r="N472" s="68"/>
    </row>
    <row r="473" spans="2:15" s="2" customFormat="1" ht="15" hidden="1" x14ac:dyDescent="0.2">
      <c r="B473" s="2" t="s">
        <v>395</v>
      </c>
      <c r="H473" s="5">
        <f>IF((ROUND((H470*'COEFICIENTES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ALTERAR'!E7*(1+('COEFICIENTES A ALTERAR'!E36*0.05))*('SIMULADOR - DADOS'!F22*'SIMULADOR - DADOS'!F24*'SIMULADOR - DADOS'!F25*'SIMULADOR - DADOS'!F26*'SIMULADOR - DADOS'!F27*'SIMULADOR - DADOS'!I24)),-1))</f>
        <v>220</v>
      </c>
      <c r="K473" s="5">
        <f>IF((ROUND((H470*'COEFICIENTES A ALTERAR'!E7*('SIMULADOR - DADOS'!F22*'SIMULADOR - DADOS'!F24*'SIMULADOR - DADOS'!F25*'SIMULADOR - DADOS'!F26*'SIMULADOR - DADOS'!F27*'SIMULADOR - DADOS'!I24)),-1))&lt;ROUND(('COEFICIENTES A ALTERAR'!E29),-1),ROUND(('COEFICIENTES A ALTERAR'!E29),-1),ROUND((H470*'COEFICIENTES A ALTERAR'!E7*('SIMULADOR - DADOS'!F22*'SIMULADOR - DADOS'!F24*'SIMULADOR - DADOS'!F25*'SIMULADOR - DADOS'!F26*'SIMULADOR - DADOS'!F27*'SIMULADOR - DADOS'!I24)),-1))</f>
        <v>220</v>
      </c>
      <c r="N473" s="68">
        <f t="shared" ref="N473:N476" si="13">ROUND(((K473/H473)-1),1)</f>
        <v>0</v>
      </c>
    </row>
    <row r="474" spans="2:15" s="2" customFormat="1" ht="15" hidden="1" x14ac:dyDescent="0.2">
      <c r="B474" s="2" t="s">
        <v>426</v>
      </c>
      <c r="H474" s="5">
        <f>IF((ROUND((H470*'COEFICIENTES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ALTERAR'!E11*(1+('COEFICIENTES A ALTERAR'!E36*0.05))*('SIMULADOR - DADOS'!F22*'SIMULADOR - DADOS'!F24*'SIMULADOR - DADOS'!F25*'SIMULADOR - DADOS'!F26*'SIMULADOR - DADOS'!F27*'SIMULADOR - DADOS'!I24)),-1))</f>
        <v>220</v>
      </c>
      <c r="K474" s="5">
        <f>IF((ROUND((H470*'COEFICIENTES A ALTERAR'!E11*('SIMULADOR - DADOS'!F22*'SIMULADOR - DADOS'!F24*'SIMULADOR - DADOS'!F25*'SIMULADOR - DADOS'!F26*'SIMULADOR - DADOS'!F27*'SIMULADOR - DADOS'!I24)),-1))&lt;ROUND(('COEFICIENTES A ALTERAR'!E29),-1),ROUND(('COEFICIENTES A ALTERAR'!E29),-1),ROUND((H470*'COEFICIENTES A ALTERAR'!E11*('SIMULADOR - DADOS'!F22*'SIMULADOR - DADOS'!F24*'SIMULADOR - DADOS'!F25*'SIMULADOR - DADOS'!F26*'SIMULADOR - DADOS'!F27*'SIMULADOR - DADOS'!I24)),-1))</f>
        <v>220</v>
      </c>
      <c r="N474" s="68">
        <f t="shared" si="13"/>
        <v>0</v>
      </c>
      <c r="O474" s="68"/>
    </row>
    <row r="475" spans="2:15" s="2" customFormat="1" ht="15" hidden="1" x14ac:dyDescent="0.2">
      <c r="B475" s="2" t="s">
        <v>405</v>
      </c>
      <c r="H475" s="5">
        <f>IF((ROUND((H470*'COEFICIENTES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ALTERAR'!E13*(1+('COEFICIENTES A ALTERAR'!E36*0.05))*('SIMULADOR - DADOS'!F22*'SIMULADOR - DADOS'!F24*'SIMULADOR - DADOS'!F25*'SIMULADOR - DADOS'!F26*'SIMULADOR - DADOS'!F27*'SIMULADOR - DADOS'!I24)),-1))</f>
        <v>220</v>
      </c>
      <c r="K475" s="5">
        <f>IF((ROUND((H470*'COEFICIENTES A ALTERAR'!E13*('SIMULADOR - DADOS'!F22*'SIMULADOR - DADOS'!F24*'SIMULADOR - DADOS'!F25*'SIMULADOR - DADOS'!F26*'SIMULADOR - DADOS'!F27*'SIMULADOR - DADOS'!I24)),-1))&lt;ROUND(('COEFICIENTES A ALTERAR'!E29),-1),ROUND(('COEFICIENTES A ALTERAR'!E29),-1),ROUND((H470*'COEFICIENTES A ALTERAR'!E13*('SIMULADOR - DADOS'!F22*'SIMULADOR - DADOS'!F24*'SIMULADOR - DADOS'!F25*'SIMULADOR - DADOS'!F26*'SIMULADOR - DADOS'!F27*'SIMULADOR - DADOS'!I24)),-1))</f>
        <v>220</v>
      </c>
      <c r="N475" s="68">
        <f t="shared" si="13"/>
        <v>0</v>
      </c>
      <c r="O475" s="68">
        <f t="shared" ref="O475:O480" si="14">IF(N475&gt;N474,N475,N474)</f>
        <v>0</v>
      </c>
    </row>
    <row r="476" spans="2:15" s="2" customFormat="1" ht="15" hidden="1" x14ac:dyDescent="0.2">
      <c r="B476" s="2" t="s">
        <v>406</v>
      </c>
      <c r="H476" s="5">
        <f>IF((ROUND((H470*'COEFICIENTES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ALTERAR'!E15*(1+('COEFICIENTES A ALTERAR'!E36*0.05))*('SIMULADOR - DADOS'!F22*'SIMULADOR - DADOS'!F24*'SIMULADOR - DADOS'!F25*'SIMULADOR - DADOS'!F26*'SIMULADOR - DADOS'!F27*'SIMULADOR - DADOS'!I24)),-1))</f>
        <v>220</v>
      </c>
      <c r="K476" s="5">
        <f>IF((ROUND((H470*'COEFICIENTES A ALTERAR'!E15*('SIMULADOR - DADOS'!F22*'SIMULADOR - DADOS'!F24*'SIMULADOR - DADOS'!F25*'SIMULADOR - DADOS'!F26*'SIMULADOR - DADOS'!F27*'SIMULADOR - DADOS'!I24)),-1))&lt;ROUND(('COEFICIENTES A ALTERAR'!E29),-1),ROUND(('COEFICIENTES A ALTERAR'!E29),-1),ROUND((H470*'COEFICIENTES A ALTERAR'!E15*('SIMULADOR - DADOS'!F22*'SIMULADOR - DADOS'!F24*'SIMULADOR - DADOS'!F25*'SIMULADOR - DADOS'!F26*'SIMULADOR - DADOS'!F27*'SIMULADOR - DADOS'!I24)),-1))</f>
        <v>220</v>
      </c>
      <c r="N476" s="68">
        <f t="shared" si="13"/>
        <v>0</v>
      </c>
      <c r="O476" s="68">
        <f t="shared" si="14"/>
        <v>0</v>
      </c>
    </row>
    <row r="477" spans="2:15" s="2" customFormat="1" ht="15" hidden="1" x14ac:dyDescent="0.2">
      <c r="B477" s="2" t="s">
        <v>407</v>
      </c>
      <c r="H477" s="5"/>
      <c r="K477" s="5"/>
      <c r="N477" s="68"/>
      <c r="O477" s="68"/>
    </row>
    <row r="478" spans="2:15" s="2" customFormat="1" ht="15" hidden="1" x14ac:dyDescent="0.2">
      <c r="B478" s="2" t="s">
        <v>408</v>
      </c>
      <c r="H478" s="5"/>
      <c r="K478" s="5"/>
      <c r="N478" s="68"/>
      <c r="O478" s="68"/>
    </row>
    <row r="479" spans="2:15" s="2" customFormat="1" ht="15" hidden="1" x14ac:dyDescent="0.2">
      <c r="B479" s="2" t="s">
        <v>409</v>
      </c>
      <c r="H479" s="5">
        <f>IF((ROUND((H470*'COEFICIENTES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ALTERAR'!E21*(1+('COEFICIENTES A ALTERAR'!E36*0.05))*('SIMULADOR - DADOS'!F22*'SIMULADOR - DADOS'!F24*'SIMULADOR - DADOS'!F25*'SIMULADOR - DADOS'!F26*'SIMULADOR - DADOS'!F27*'SIMULADOR - DADOS'!I24)),-1))</f>
        <v>220</v>
      </c>
      <c r="K479" s="5">
        <f>IF((ROUND((H470*'COEFICIENTES A ALTERAR'!E21*('SIMULADOR - DADOS'!F22*'SIMULADOR - DADOS'!F24*'SIMULADOR - DADOS'!F25*'SIMULADOR - DADOS'!F26*'SIMULADOR - DADOS'!F27*'SIMULADOR - DADOS'!I24)),-1))&lt;ROUND(('COEFICIENTES A ALTERAR'!E29),-1),ROUND(('COEFICIENTES A ALTERAR'!E29),-1),ROUND((H470*'COEFICIENTES A ALTERAR'!E21*('SIMULADOR - DADOS'!F22*'SIMULADOR - DADOS'!F24*'SIMULADOR - DADOS'!F25*'SIMULADOR - DADOS'!F26*'SIMULADOR - DADOS'!F27*'SIMULADOR - DADOS'!I24)),-1))</f>
        <v>220</v>
      </c>
      <c r="N479" s="68">
        <f t="shared" ref="N479:N481" si="15">ROUND(((K479/H479)-1),1)</f>
        <v>0</v>
      </c>
      <c r="O479" s="68">
        <f>IF(N479&gt;N476,N479,N476)</f>
        <v>0</v>
      </c>
    </row>
    <row r="480" spans="2:15" s="2" customFormat="1" ht="15" hidden="1" x14ac:dyDescent="0.2">
      <c r="B480" s="2" t="s">
        <v>410</v>
      </c>
      <c r="H480" s="5">
        <f>IF((ROUND((H470*'COEFICIENTES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ALTERAR'!E29),-1),ROUND((H470*'COEFICIENTES A ALTERAR'!E23*(1+('COEFICIENTES A ALTERAR'!E36*0.05))*('SIMULADOR - DADOS'!F22*'SIMULADOR - DADOS'!F24*'SIMULADOR - DADOS'!F25*'SIMULADOR - DADOS'!F26*'SIMULADOR - DADOS'!F27*'SIMULADOR - DADOS'!I24)),-1))</f>
        <v>220</v>
      </c>
      <c r="K480" s="5">
        <f>IF((ROUND((H470*'COEFICIENTES A ALTERAR'!E23*('SIMULADOR - DADOS'!F22*'SIMULADOR - DADOS'!F24*'SIMULADOR - DADOS'!F25*'SIMULADOR - DADOS'!F26*'SIMULADOR - DADOS'!F27*'SIMULADOR - DADOS'!I24)),-1))&lt;ROUND(('COEFICIENTES A ALTERAR'!E29),-1),ROUND(('COEFICIENTES A ALTERAR'!E29),-1),ROUND((H470*'COEFICIENTES A ALTERAR'!E23*('SIMULADOR - DADOS'!F22*'SIMULADOR - DADOS'!F24*'SIMULADOR - DADOS'!F25*'SIMULADOR - DADOS'!F26*'SIMULADOR - DADOS'!F27*'SIMULADOR - DADOS'!I24)),-1))</f>
        <v>220</v>
      </c>
      <c r="N480" s="68">
        <f t="shared" si="15"/>
        <v>0</v>
      </c>
      <c r="O480" s="68">
        <f t="shared" si="14"/>
        <v>0</v>
      </c>
    </row>
    <row r="481" spans="2:15" s="2" customFormat="1" ht="15" hidden="1" x14ac:dyDescent="0.2">
      <c r="B481" s="2" t="s">
        <v>411</v>
      </c>
      <c r="H481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481" s="5">
        <f>ROUND(('COEFICIENTES A ALTERAR'!E27*'SIMULADOR - DADOS'!E17*('SIMULADOR - DADOS'!F22*'SIMULADOR - DADOS'!F24*'SIMULADOR - DADOS'!F25*'SIMULADOR - DADOS'!F26*'SIMULADOR - DADOS'!F27*'SIMULADOR - DADOS'!I24)),-1)</f>
        <v>0</v>
      </c>
      <c r="N481" s="68" t="e">
        <f t="shared" si="15"/>
        <v>#DIV/0!</v>
      </c>
      <c r="O481" s="68" t="e">
        <f>IF(N481&gt;N480,N481,N480)</f>
        <v>#DIV/0!</v>
      </c>
    </row>
    <row r="482" spans="2:15" s="2" customFormat="1" ht="15" hidden="1" x14ac:dyDescent="0.2">
      <c r="B482" s="2" t="s">
        <v>431</v>
      </c>
      <c r="H482" s="5">
        <f>ROUND(('COEFICIENTES A ALTERAR'!E31*(1.5^(O484-1))*(1+('COEFICIENTES A ALTERAR'!E36*0.05))*('SIMULADOR - DADOS'!F22*'SIMULADOR - DADOS'!F24*'SIMULADOR - DADOS'!F25*'SIMULADOR - DADOS'!F26*'SIMULADOR - DADOS'!F27*'SIMULADOR - DADOS'!I24)),-1)</f>
        <v>0</v>
      </c>
      <c r="K482" s="5"/>
      <c r="N482" s="68"/>
      <c r="O482" s="68"/>
    </row>
    <row r="483" spans="2:15" s="2" customFormat="1" ht="15" hidden="1" x14ac:dyDescent="0.2">
      <c r="B483" s="2" t="s">
        <v>432</v>
      </c>
      <c r="H483" s="5">
        <f>IF(H482/2&lt;'COEFICIENTES A ALTERAR'!E31,ROUND(('COEFICIENTES A ALTERAR'!E31),-1),H482/2)</f>
        <v>100</v>
      </c>
      <c r="K483" s="5"/>
      <c r="N483" s="68"/>
      <c r="O483" s="68"/>
    </row>
    <row r="484" spans="2:15" s="2" customFormat="1" ht="15" hidden="1" x14ac:dyDescent="0.2">
      <c r="B484" s="2" t="s">
        <v>433</v>
      </c>
      <c r="H484" s="5">
        <f>ROUND(('COEFICIENTES A ALTERAR'!E33*(1.5^(O484-1))*(1+('COEFICIENTES A ALTERAR'!E36*0.05))*('SIMULADOR - DADOS'!F22*'SIMULADOR - DADOS'!F24*'SIMULADOR - DADOS'!F25*'SIMULADOR - DADOS'!F26*'SIMULADOR - DADOS'!F27*'SIMULADOR - DADOS'!I24)),-1)</f>
        <v>0</v>
      </c>
      <c r="J484" s="126">
        <f>H470*'COEFICIENTES A ALTERAR'!E39</f>
        <v>0</v>
      </c>
      <c r="K484" s="127"/>
      <c r="N484" s="68" t="s">
        <v>444</v>
      </c>
      <c r="O484" s="55">
        <f>IF(J484&lt;'COEFICIENTES A ALTERAR'!E40,1,IF('SIMULADOR - CUSTO PROJETOS'!J484&lt;'COEFICIENTES A ALTERAR'!E41,2,IF('SIMULADOR - CUSTO PROJETOS'!J484&lt;'COEFICIENTES A ALTERAR'!E42,3,IF('SIMULADOR - CUSTO PROJETOS'!J484&lt;'COEFICIENTES A ALTERAR'!E43,4,IF('SIMULADOR - CUSTO PROJETOS'!J484&lt;'COEFICIENTES A ALTERAR'!E44,5,IF('SIMULADOR - CUSTO PROJETOS'!J484&lt;'COEFICIENTES A ALTERAR'!E45,6,IF('SIMULADOR - CUSTO PROJETOS'!J484&lt;'COEFICIENTES A ALTERAR'!E46,7,IF('SIMULADOR - CUSTO PROJETOS'!J484&lt;'COEFICIENTES A ALTERAR'!E47,8,9))))))))</f>
        <v>1</v>
      </c>
    </row>
    <row r="485" spans="2:15" hidden="1" x14ac:dyDescent="0.2"/>
    <row r="486" spans="2:15" hidden="1" x14ac:dyDescent="0.2"/>
    <row r="487" spans="2:15" hidden="1" x14ac:dyDescent="0.2"/>
    <row r="488" spans="2:15" ht="15" hidden="1" x14ac:dyDescent="0.2">
      <c r="B488" s="2" t="s">
        <v>471</v>
      </c>
      <c r="H488" s="55">
        <f>(0.75*('SIMULADOR - DADOS'!E15*(0.95^('SIMULADOR - DADOS'!E15/100))+('SIMULADOR - DADOS'!E15*(0.95^('SIMULADOR - DADOS'!E15/100))*(0.5*(0.5^'SIMULADOR - DADOS'!E17)))))+(2*'SIMULADOR - DADOS'!E16)</f>
        <v>0</v>
      </c>
      <c r="I488" s="2" t="s">
        <v>446</v>
      </c>
      <c r="K488" s="32"/>
      <c r="L488" s="32"/>
    </row>
    <row r="489" spans="2:15" ht="15" hidden="1" x14ac:dyDescent="0.2">
      <c r="B489" s="2" t="s">
        <v>451</v>
      </c>
      <c r="H489" s="55">
        <f>(H488*2)+(('SIMULADOR - DADOS'!E18-'SIMULADOR - CUSTO PROJETOS'!H488)*0.2)</f>
        <v>0</v>
      </c>
      <c r="I489" s="2" t="s">
        <v>446</v>
      </c>
      <c r="K489" s="32"/>
      <c r="L489" s="32"/>
    </row>
    <row r="490" spans="2:15" s="2" customFormat="1" ht="15" hidden="1" x14ac:dyDescent="0.2">
      <c r="B490" s="2" t="s">
        <v>378</v>
      </c>
      <c r="H490" s="5">
        <f>IF((ROUND((H489*'COEFICIENTES A ALTERAR'!E7*0.1*('SIMULADOR - DADOS'!F22*'SIMULADOR - DADOS'!F24*'SIMULADOR - DADOS'!F25*'SIMULADOR - DADOS'!F26*'SIMULADOR - DADOS'!F27*'SIMULADOR - DADOS'!I24)),-1))&lt;ROUND(('COEFICIENTES A ALTERAR'!E29),-1),ROUND(('COEFICIENTES A ALTERAR'!E29),-1),ROUND((H489*'COEFICIENTES A ALTERAR'!E7*0.1*('SIMULADOR - DADOS'!F22*'SIMULADOR - DADOS'!F24*'SIMULADOR - DADOS'!F25*'SIMULADOR - DADOS'!F26*'SIMULADOR - DADOS'!F27*'SIMULADOR - DADOS'!I24)),-1))</f>
        <v>220</v>
      </c>
      <c r="K490" s="5"/>
      <c r="N490" s="68"/>
    </row>
    <row r="491" spans="2:15" s="2" customFormat="1" ht="15" hidden="1" x14ac:dyDescent="0.2">
      <c r="B491" s="2" t="s">
        <v>395</v>
      </c>
      <c r="H491" s="5">
        <f>IF((ROUND((H488*'COEFICIENTES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ALTERAR'!E7*(1+('COEFICIENTES A ALTERAR'!E36*0.05))*('SIMULADOR - DADOS'!F22*'SIMULADOR - DADOS'!F24*'SIMULADOR - DADOS'!F25*'SIMULADOR - DADOS'!F26*'SIMULADOR - DADOS'!F27*'SIMULADOR - DADOS'!I24)),-1))</f>
        <v>220</v>
      </c>
      <c r="K491" s="5">
        <f>IF((ROUND((H488*'COEFICIENTES A ALTERAR'!E7*('SIMULADOR - DADOS'!F22*'SIMULADOR - DADOS'!F24*'SIMULADOR - DADOS'!F25*'SIMULADOR - DADOS'!F26*'SIMULADOR - DADOS'!F27*'SIMULADOR - DADOS'!I24)),-1))&lt;ROUND(('COEFICIENTES A ALTERAR'!E29),-1),ROUND(('COEFICIENTES A ALTERAR'!E29),-1),ROUND((H488*'COEFICIENTES A ALTERAR'!E7*('SIMULADOR - DADOS'!F22*'SIMULADOR - DADOS'!F24*'SIMULADOR - DADOS'!F25*'SIMULADOR - DADOS'!F26*'SIMULADOR - DADOS'!F27*'SIMULADOR - DADOS'!I24)),-1))</f>
        <v>220</v>
      </c>
      <c r="N491" s="68">
        <f t="shared" ref="N491:N494" si="16">ROUND(((K491/H491)-1),1)</f>
        <v>0</v>
      </c>
    </row>
    <row r="492" spans="2:15" s="2" customFormat="1" ht="15" hidden="1" x14ac:dyDescent="0.2">
      <c r="B492" s="2" t="s">
        <v>426</v>
      </c>
      <c r="H492" s="5">
        <f>IF((ROUND((H488*'COEFICIENTES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ALTERAR'!E11*(1+('COEFICIENTES A ALTERAR'!E36*0.05))*('SIMULADOR - DADOS'!F22*'SIMULADOR - DADOS'!F24*'SIMULADOR - DADOS'!F25*'SIMULADOR - DADOS'!F26*'SIMULADOR - DADOS'!F27*'SIMULADOR - DADOS'!I24)),-1))</f>
        <v>220</v>
      </c>
      <c r="K492" s="5">
        <f>IF((ROUND((H488*'COEFICIENTES A ALTERAR'!E11*('SIMULADOR - DADOS'!F22*'SIMULADOR - DADOS'!F24*'SIMULADOR - DADOS'!F25*'SIMULADOR - DADOS'!F26*'SIMULADOR - DADOS'!F27*'SIMULADOR - DADOS'!I24)),-1))&lt;ROUND(('COEFICIENTES A ALTERAR'!E29),-1),ROUND(('COEFICIENTES A ALTERAR'!E29),-1),ROUND((H488*'COEFICIENTES A ALTERAR'!E11*('SIMULADOR - DADOS'!F22*'SIMULADOR - DADOS'!F24*'SIMULADOR - DADOS'!F25*'SIMULADOR - DADOS'!F26*'SIMULADOR - DADOS'!F27*'SIMULADOR - DADOS'!I24)),-1))</f>
        <v>220</v>
      </c>
      <c r="N492" s="68">
        <f t="shared" si="16"/>
        <v>0</v>
      </c>
      <c r="O492" s="68"/>
    </row>
    <row r="493" spans="2:15" s="2" customFormat="1" ht="15" hidden="1" x14ac:dyDescent="0.2">
      <c r="B493" s="2" t="s">
        <v>405</v>
      </c>
      <c r="H493" s="5">
        <f>IF((ROUND((H488*'COEFICIENTES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ALTERAR'!E13*(1+('COEFICIENTES A ALTERAR'!E36*0.05))*('SIMULADOR - DADOS'!F22*'SIMULADOR - DADOS'!F24*'SIMULADOR - DADOS'!F25*'SIMULADOR - DADOS'!F26*'SIMULADOR - DADOS'!F27*'SIMULADOR - DADOS'!I24)),-1))</f>
        <v>220</v>
      </c>
      <c r="K493" s="5">
        <f>IF((ROUND((H488*'COEFICIENTES A ALTERAR'!E13*('SIMULADOR - DADOS'!F22*'SIMULADOR - DADOS'!F24*'SIMULADOR - DADOS'!F25*'SIMULADOR - DADOS'!F26*'SIMULADOR - DADOS'!F27*'SIMULADOR - DADOS'!I24)),-1))&lt;ROUND(('COEFICIENTES A ALTERAR'!E29),-1),ROUND(('COEFICIENTES A ALTERAR'!E29),-1),ROUND((H488*'COEFICIENTES A ALTERAR'!E13*('SIMULADOR - DADOS'!F22*'SIMULADOR - DADOS'!F24*'SIMULADOR - DADOS'!F25*'SIMULADOR - DADOS'!F26*'SIMULADOR - DADOS'!F27*'SIMULADOR - DADOS'!I24)),-1))</f>
        <v>220</v>
      </c>
      <c r="N493" s="68">
        <f t="shared" si="16"/>
        <v>0</v>
      </c>
      <c r="O493" s="68">
        <f t="shared" ref="O493:O498" si="17">IF(N493&gt;N492,N493,N492)</f>
        <v>0</v>
      </c>
    </row>
    <row r="494" spans="2:15" s="2" customFormat="1" ht="15" hidden="1" x14ac:dyDescent="0.2">
      <c r="B494" s="2" t="s">
        <v>406</v>
      </c>
      <c r="H494" s="5">
        <f>IF((ROUND((H488*'COEFICIENTES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ALTERAR'!E15*(1+('COEFICIENTES A ALTERAR'!E36*0.05))*('SIMULADOR - DADOS'!F22*'SIMULADOR - DADOS'!F24*'SIMULADOR - DADOS'!F25*'SIMULADOR - DADOS'!F26*'SIMULADOR - DADOS'!F27*'SIMULADOR - DADOS'!I24)),-1))</f>
        <v>220</v>
      </c>
      <c r="K494" s="5">
        <f>IF((ROUND((H488*'COEFICIENTES A ALTERAR'!E15*('SIMULADOR - DADOS'!F22*'SIMULADOR - DADOS'!F24*'SIMULADOR - DADOS'!F25*'SIMULADOR - DADOS'!F26*'SIMULADOR - DADOS'!F27*'SIMULADOR - DADOS'!I24)),-1))&lt;ROUND(('COEFICIENTES A ALTERAR'!E29),-1),ROUND(('COEFICIENTES A ALTERAR'!E29),-1),ROUND((H488*'COEFICIENTES A ALTERAR'!E15*('SIMULADOR - DADOS'!F22*'SIMULADOR - DADOS'!F24*'SIMULADOR - DADOS'!F25*'SIMULADOR - DADOS'!F26*'SIMULADOR - DADOS'!F27*'SIMULADOR - DADOS'!I24)),-1))</f>
        <v>220</v>
      </c>
      <c r="N494" s="68">
        <f t="shared" si="16"/>
        <v>0</v>
      </c>
      <c r="O494" s="68">
        <f t="shared" si="17"/>
        <v>0</v>
      </c>
    </row>
    <row r="495" spans="2:15" s="2" customFormat="1" ht="15" hidden="1" x14ac:dyDescent="0.2">
      <c r="B495" s="2" t="s">
        <v>407</v>
      </c>
      <c r="H495" s="5"/>
      <c r="K495" s="5"/>
      <c r="N495" s="68"/>
      <c r="O495" s="68"/>
    </row>
    <row r="496" spans="2:15" s="2" customFormat="1" ht="15" hidden="1" x14ac:dyDescent="0.2">
      <c r="B496" s="2" t="s">
        <v>408</v>
      </c>
      <c r="H496" s="5"/>
      <c r="K496" s="5"/>
      <c r="N496" s="68"/>
      <c r="O496" s="68"/>
    </row>
    <row r="497" spans="2:15" s="2" customFormat="1" ht="15" hidden="1" x14ac:dyDescent="0.2">
      <c r="B497" s="2" t="s">
        <v>409</v>
      </c>
      <c r="H497" s="5">
        <f>IF((ROUND((H488*'COEFICIENTES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ALTERAR'!E21*(1+('COEFICIENTES A ALTERAR'!E36*0.05))*('SIMULADOR - DADOS'!F22*'SIMULADOR - DADOS'!F24*'SIMULADOR - DADOS'!F25*'SIMULADOR - DADOS'!F26*'SIMULADOR - DADOS'!F27*'SIMULADOR - DADOS'!I24)),-1))</f>
        <v>220</v>
      </c>
      <c r="K497" s="5">
        <f>IF((ROUND((H488*'COEFICIENTES A ALTERAR'!E21*('SIMULADOR - DADOS'!F22*'SIMULADOR - DADOS'!F24*'SIMULADOR - DADOS'!F25*'SIMULADOR - DADOS'!F26*'SIMULADOR - DADOS'!F27*'SIMULADOR - DADOS'!I24)),-1))&lt;ROUND(('COEFICIENTES A ALTERAR'!E29),-1),ROUND(('COEFICIENTES A ALTERAR'!E29),-1),ROUND((H488*'COEFICIENTES A ALTERAR'!E21*('SIMULADOR - DADOS'!F22*'SIMULADOR - DADOS'!F24*'SIMULADOR - DADOS'!F25*'SIMULADOR - DADOS'!F26*'SIMULADOR - DADOS'!F27*'SIMULADOR - DADOS'!I24)),-1))</f>
        <v>220</v>
      </c>
      <c r="N497" s="68">
        <f t="shared" ref="N497:N499" si="18">ROUND(((K497/H497)-1),1)</f>
        <v>0</v>
      </c>
      <c r="O497" s="68">
        <f>IF(N497&gt;N494,N497,N494)</f>
        <v>0</v>
      </c>
    </row>
    <row r="498" spans="2:15" s="2" customFormat="1" ht="15" hidden="1" x14ac:dyDescent="0.2">
      <c r="B498" s="2" t="s">
        <v>410</v>
      </c>
      <c r="H498" s="5">
        <f>IF((ROUND((H488*'COEFICIENTES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ALTERAR'!E29),-1),ROUND((H488*'COEFICIENTES A ALTERAR'!E23*(1+('COEFICIENTES A ALTERAR'!E36*0.05))*('SIMULADOR - DADOS'!F22*'SIMULADOR - DADOS'!F24*'SIMULADOR - DADOS'!F25*'SIMULADOR - DADOS'!F26*'SIMULADOR - DADOS'!F27*'SIMULADOR - DADOS'!I24)),-1))</f>
        <v>220</v>
      </c>
      <c r="K498" s="5">
        <f>IF((ROUND((H488*'COEFICIENTES A ALTERAR'!E23*('SIMULADOR - DADOS'!F22*'SIMULADOR - DADOS'!F24*'SIMULADOR - DADOS'!F25*'SIMULADOR - DADOS'!F26*'SIMULADOR - DADOS'!F27*'SIMULADOR - DADOS'!I24)),-1))&lt;ROUND(('COEFICIENTES A ALTERAR'!E29),-1),ROUND(('COEFICIENTES A ALTERAR'!E29),-1),ROUND((H488*'COEFICIENTES A ALTERAR'!E23*('SIMULADOR - DADOS'!F22*'SIMULADOR - DADOS'!F24*'SIMULADOR - DADOS'!F25*'SIMULADOR - DADOS'!F26*'SIMULADOR - DADOS'!F27*'SIMULADOR - DADOS'!I24)),-1))</f>
        <v>220</v>
      </c>
      <c r="N498" s="68">
        <f t="shared" si="18"/>
        <v>0</v>
      </c>
      <c r="O498" s="68">
        <f t="shared" si="17"/>
        <v>0</v>
      </c>
    </row>
    <row r="499" spans="2:15" s="2" customFormat="1" ht="15" hidden="1" x14ac:dyDescent="0.2">
      <c r="B499" s="2" t="s">
        <v>411</v>
      </c>
      <c r="H499" s="5">
        <f>ROUND(('COEFICIENTES A ALTERAR'!E27*'SIMULADOR - DADOS'!E17*(1+('COEFICIENTES A ALTERAR'!E36*0.05))*('SIMULADOR - DADOS'!F22*'SIMULADOR - DADOS'!F24*'SIMULADOR - DADOS'!F25*'SIMULADOR - DADOS'!F26*'SIMULADOR - DADOS'!F27*'SIMULADOR - DADOS'!I24)),-1)</f>
        <v>0</v>
      </c>
      <c r="K499" s="5">
        <f>ROUND(('COEFICIENTES A ALTERAR'!E27*'SIMULADOR - DADOS'!E17*('SIMULADOR - DADOS'!F22*'SIMULADOR - DADOS'!F24*'SIMULADOR - DADOS'!F25*'SIMULADOR - DADOS'!F26*'SIMULADOR - DADOS'!F27*'SIMULADOR - DADOS'!I24)),-1)</f>
        <v>0</v>
      </c>
      <c r="N499" s="68" t="e">
        <f t="shared" si="18"/>
        <v>#DIV/0!</v>
      </c>
      <c r="O499" s="68" t="e">
        <f>IF(N499&gt;N498,N499,N498)</f>
        <v>#DIV/0!</v>
      </c>
    </row>
    <row r="500" spans="2:15" s="2" customFormat="1" ht="15" hidden="1" x14ac:dyDescent="0.2">
      <c r="B500" s="2" t="s">
        <v>431</v>
      </c>
      <c r="H500" s="5">
        <f>ROUND(('COEFICIENTES A ALTERAR'!E31*(1.5^(O502-1))*(1+('COEFICIENTES A ALTERAR'!E36*0.05))*('SIMULADOR - DADOS'!F22*'SIMULADOR - DADOS'!F24*'SIMULADOR - DADOS'!F25*'SIMULADOR - DADOS'!F26*'SIMULADOR - DADOS'!F27*'SIMULADOR - DADOS'!I24)),-1)</f>
        <v>0</v>
      </c>
      <c r="K500" s="5"/>
      <c r="N500" s="68"/>
      <c r="O500" s="68"/>
    </row>
    <row r="501" spans="2:15" s="2" customFormat="1" ht="15" hidden="1" x14ac:dyDescent="0.2">
      <c r="B501" s="2" t="s">
        <v>432</v>
      </c>
      <c r="H501" s="5">
        <f>IF(H500/2&lt;'COEFICIENTES A ALTERAR'!E31,ROUND(('COEFICIENTES A ALTERAR'!E31),-1),H500/2)</f>
        <v>100</v>
      </c>
      <c r="K501" s="5"/>
      <c r="N501" s="68"/>
      <c r="O501" s="68"/>
    </row>
    <row r="502" spans="2:15" s="2" customFormat="1" ht="15" hidden="1" x14ac:dyDescent="0.2">
      <c r="B502" s="2" t="s">
        <v>433</v>
      </c>
      <c r="H502" s="5">
        <f>ROUND(('COEFICIENTES A ALTERAR'!E33*(1.5^(O502-1))*(1+('COEFICIENTES A ALTERAR'!E36*0.05))*('SIMULADOR - DADOS'!F22*'SIMULADOR - DADOS'!F24*'SIMULADOR - DADOS'!F25*'SIMULADOR - DADOS'!F26*'SIMULADOR - DADOS'!F27*'SIMULADOR - DADOS'!I24)),-1)</f>
        <v>0</v>
      </c>
      <c r="J502" s="126">
        <f>H488*'COEFICIENTES A ALTERAR'!E39</f>
        <v>0</v>
      </c>
      <c r="K502" s="127"/>
      <c r="N502" s="68" t="s">
        <v>444</v>
      </c>
      <c r="O502" s="55">
        <f>IF(J502&lt;'COEFICIENTES A ALTERAR'!E40,1,IF('SIMULADOR - CUSTO PROJETOS'!J502&lt;'COEFICIENTES A ALTERAR'!E41,2,IF('SIMULADOR - CUSTO PROJETOS'!J502&lt;'COEFICIENTES A ALTERAR'!E42,3,IF('SIMULADOR - CUSTO PROJETOS'!J502&lt;'COEFICIENTES A ALTERAR'!E43,4,IF('SIMULADOR - CUSTO PROJETOS'!J502&lt;'COEFICIENTES A ALTERAR'!E44,5,IF('SIMULADOR - CUSTO PROJETOS'!J502&lt;'COEFICIENTES A ALTERAR'!E45,6,IF('SIMULADOR - CUSTO PROJETOS'!J502&lt;'COEFICIENTES A ALTERAR'!E46,7,IF('SIMULADOR - CUSTO PROJETOS'!J502&lt;'COEFICIENTES A ALTERAR'!E47,8,9))))))))</f>
        <v>1</v>
      </c>
    </row>
    <row r="503" spans="2:15" hidden="1" x14ac:dyDescent="0.2"/>
    <row r="504" spans="2:15" hidden="1" x14ac:dyDescent="0.2"/>
    <row r="505" spans="2:15" hidden="1" x14ac:dyDescent="0.2"/>
    <row r="506" spans="2:15" ht="15" hidden="1" x14ac:dyDescent="0.2">
      <c r="B506" s="2" t="s">
        <v>472</v>
      </c>
      <c r="H506" s="55">
        <f>(0.375*('SIMULADOR - DADOS'!E15*(0.95^('SIMULADOR - DADOS'!E15/100))))+(0.75*'SIMULADOR - DADOS'!E15*(0.5^('SIMULADOR - DADOS'!E17))*(0.95^('SIMULADOR - DADOS'!E15/100)))</f>
        <v>0</v>
      </c>
      <c r="I506" s="2" t="s">
        <v>446</v>
      </c>
      <c r="K506" s="32"/>
      <c r="L506" s="32"/>
    </row>
    <row r="507" spans="2:15" ht="15" hidden="1" x14ac:dyDescent="0.2">
      <c r="B507" s="2" t="s">
        <v>451</v>
      </c>
      <c r="H507" s="55">
        <f>(H506*2)+(('SIMULADOR - DADOS'!E18-'SIMULADOR - CUSTO PROJETOS'!H506)*0.2)</f>
        <v>0</v>
      </c>
      <c r="I507" s="2" t="s">
        <v>446</v>
      </c>
      <c r="K507" s="32"/>
      <c r="L507" s="32"/>
    </row>
    <row r="508" spans="2:15" s="2" customFormat="1" ht="15" hidden="1" x14ac:dyDescent="0.2">
      <c r="B508" s="2" t="s">
        <v>378</v>
      </c>
      <c r="H508" s="5">
        <f>IF((ROUND((H506*'COEFICIENTES A ALTERAR'!E7*0.1*('SIMULADOR - DADOS'!F22*'SIMULADOR - DADOS'!F24*'SIMULADOR - DADOS'!F25*'SIMULADOR - DADOS'!F26*'SIMULADOR - DADOS'!F27*'SIMULADOR - DADOS'!I24)),-1))&lt;ROUND(('COEFICIENTES A ALTERAR'!E29),-1),ROUND(('COEFICIENTES A ALTERAR'!E29),-1),ROUND((H506*'COEFICIENTES A ALTERAR'!E7*0.1*('SIMULADOR - DADOS'!F22*'SIMULADOR - DADOS'!F24*'SIMULADOR - DADOS'!F25*'SIMULADOR - DADOS'!F26*'SIMULADOR - DADOS'!F27*'SIMULADOR - DADOS'!I24)),-1))</f>
        <v>220</v>
      </c>
      <c r="K508" s="5"/>
      <c r="N508" s="68"/>
    </row>
    <row r="509" spans="2:15" s="2" customFormat="1" ht="15" hidden="1" x14ac:dyDescent="0.2">
      <c r="B509" s="2" t="s">
        <v>395</v>
      </c>
      <c r="H509" s="5">
        <f>IF((ROUND((H506*'COEFICIENTES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ALTERAR'!E7*(1+('COEFICIENTES A ALTERAR'!E36*0.05))*('SIMULADOR - DADOS'!F22*'SIMULADOR - DADOS'!F24*'SIMULADOR - DADOS'!F25*'SIMULADOR - DADOS'!F26*'SIMULADOR - DADOS'!F27*'SIMULADOR - DADOS'!I24)),-1))</f>
        <v>220</v>
      </c>
      <c r="K509" s="5">
        <f>IF((ROUND((H506*'COEFICIENTES A ALTERAR'!E7*('SIMULADOR - DADOS'!F22*'SIMULADOR - DADOS'!F24*'SIMULADOR - DADOS'!F25*'SIMULADOR - DADOS'!F26*'SIMULADOR - DADOS'!F27*'SIMULADOR - DADOS'!I24)),-1))&lt;ROUND(('COEFICIENTES A ALTERAR'!E29),-1),ROUND(('COEFICIENTES A ALTERAR'!E29),-1),ROUND((H506*'COEFICIENTES A ALTERAR'!E7*('SIMULADOR - DADOS'!F22*'SIMULADOR - DADOS'!F24*'SIMULADOR - DADOS'!F25*'SIMULADOR - DADOS'!F26*'SIMULADOR - DADOS'!F27*'SIMULADOR - DADOS'!I24)),-1))</f>
        <v>220</v>
      </c>
      <c r="N509" s="68">
        <f t="shared" ref="N509:N512" si="19">ROUND(((K509/H509)-1),1)</f>
        <v>0</v>
      </c>
    </row>
    <row r="510" spans="2:15" s="2" customFormat="1" ht="15" hidden="1" x14ac:dyDescent="0.2">
      <c r="B510" s="2" t="s">
        <v>426</v>
      </c>
      <c r="H510" s="5">
        <f>IF((ROUND((H506*'COEFICIENTES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ALTERAR'!E11*(1+('COEFICIENTES A ALTERAR'!E36*0.05))*('SIMULADOR - DADOS'!F22*'SIMULADOR - DADOS'!F24*'SIMULADOR - DADOS'!F25*'SIMULADOR - DADOS'!F26*'SIMULADOR - DADOS'!F27*'SIMULADOR - DADOS'!I24)),-1))</f>
        <v>220</v>
      </c>
      <c r="K510" s="5">
        <f>IF((ROUND((H506*'COEFICIENTES A ALTERAR'!E11*('SIMULADOR - DADOS'!F22*'SIMULADOR - DADOS'!F24*'SIMULADOR - DADOS'!F25*'SIMULADOR - DADOS'!F26*'SIMULADOR - DADOS'!F27*'SIMULADOR - DADOS'!I24)),-1))&lt;ROUND(('COEFICIENTES A ALTERAR'!E29),-1),ROUND(('COEFICIENTES A ALTERAR'!E29),-1),ROUND((H506*'COEFICIENTES A ALTERAR'!E11*('SIMULADOR - DADOS'!F22*'SIMULADOR - DADOS'!F24*'SIMULADOR - DADOS'!F25*'SIMULADOR - DADOS'!F26*'SIMULADOR - DADOS'!F27*'SIMULADOR - DADOS'!I24)),-1))</f>
        <v>220</v>
      </c>
      <c r="N510" s="68">
        <f t="shared" si="19"/>
        <v>0</v>
      </c>
      <c r="O510" s="68"/>
    </row>
    <row r="511" spans="2:15" s="2" customFormat="1" ht="15" hidden="1" x14ac:dyDescent="0.2">
      <c r="B511" s="2" t="s">
        <v>405</v>
      </c>
      <c r="H511" s="5">
        <f>IF((ROUND((H506*'COEFICIENTES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ALTERAR'!E13*(1+('COEFICIENTES A ALTERAR'!E36*0.05))*('SIMULADOR - DADOS'!F22*'SIMULADOR - DADOS'!F24*'SIMULADOR - DADOS'!F25*'SIMULADOR - DADOS'!F26*'SIMULADOR - DADOS'!F27*'SIMULADOR - DADOS'!I24)),-1))</f>
        <v>220</v>
      </c>
      <c r="K511" s="5">
        <f>IF((ROUND((H506*'COEFICIENTES A ALTERAR'!E13*('SIMULADOR - DADOS'!F22*'SIMULADOR - DADOS'!F24*'SIMULADOR - DADOS'!F25*'SIMULADOR - DADOS'!F26*'SIMULADOR - DADOS'!F27*'SIMULADOR - DADOS'!I24)),-1))&lt;ROUND(('COEFICIENTES A ALTERAR'!E29),-1),ROUND(('COEFICIENTES A ALTERAR'!E29),-1),ROUND((H506*'COEFICIENTES A ALTERAR'!E13*('SIMULADOR - DADOS'!F22*'SIMULADOR - DADOS'!F24*'SIMULADOR - DADOS'!F25*'SIMULADOR - DADOS'!F26*'SIMULADOR - DADOS'!F27*'SIMULADOR - DADOS'!I24)),-1))</f>
        <v>220</v>
      </c>
      <c r="N511" s="68">
        <f t="shared" si="19"/>
        <v>0</v>
      </c>
      <c r="O511" s="68">
        <f t="shared" ref="O511:O516" si="20">IF(N511&gt;N510,N511,N510)</f>
        <v>0</v>
      </c>
    </row>
    <row r="512" spans="2:15" s="2" customFormat="1" ht="15" hidden="1" x14ac:dyDescent="0.2">
      <c r="B512" s="2" t="s">
        <v>406</v>
      </c>
      <c r="H512" s="5">
        <f>IF((ROUND((H506*'COEFICIENTES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ALTERAR'!E15*(1+('COEFICIENTES A ALTERAR'!E36*0.05))*('SIMULADOR - DADOS'!F22*'SIMULADOR - DADOS'!F24*'SIMULADOR - DADOS'!F25*'SIMULADOR - DADOS'!F26*'SIMULADOR - DADOS'!F27*'SIMULADOR - DADOS'!I24)),-1))</f>
        <v>220</v>
      </c>
      <c r="K512" s="5">
        <f>IF((ROUND((H506*'COEFICIENTES A ALTERAR'!E15*('SIMULADOR - DADOS'!F22*'SIMULADOR - DADOS'!F24*'SIMULADOR - DADOS'!F25*'SIMULADOR - DADOS'!F26*'SIMULADOR - DADOS'!F27*'SIMULADOR - DADOS'!I24)),-1))&lt;ROUND(('COEFICIENTES A ALTERAR'!E29),-1),ROUND(('COEFICIENTES A ALTERAR'!E29),-1),ROUND((H506*'COEFICIENTES A ALTERAR'!E15*('SIMULADOR - DADOS'!F22*'SIMULADOR - DADOS'!F24*'SIMULADOR - DADOS'!F25*'SIMULADOR - DADOS'!F26*'SIMULADOR - DADOS'!F27*'SIMULADOR - DADOS'!I24)),-1))</f>
        <v>220</v>
      </c>
      <c r="N512" s="68">
        <f t="shared" si="19"/>
        <v>0</v>
      </c>
      <c r="O512" s="68">
        <f t="shared" si="20"/>
        <v>0</v>
      </c>
    </row>
    <row r="513" spans="2:15" s="2" customFormat="1" ht="15" hidden="1" x14ac:dyDescent="0.2">
      <c r="B513" s="2" t="s">
        <v>407</v>
      </c>
      <c r="H513" s="5"/>
      <c r="K513" s="5"/>
      <c r="N513" s="68"/>
      <c r="O513" s="68"/>
    </row>
    <row r="514" spans="2:15" s="2" customFormat="1" ht="15" hidden="1" x14ac:dyDescent="0.2">
      <c r="B514" s="2" t="s">
        <v>408</v>
      </c>
      <c r="H514" s="5"/>
      <c r="K514" s="5"/>
      <c r="N514" s="68"/>
      <c r="O514" s="68"/>
    </row>
    <row r="515" spans="2:15" s="2" customFormat="1" ht="15" hidden="1" x14ac:dyDescent="0.2">
      <c r="B515" s="2" t="s">
        <v>409</v>
      </c>
      <c r="H515" s="5">
        <f>IF((ROUND((H506*'COEFICIENTES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ALTERAR'!E21*(1+('COEFICIENTES A ALTERAR'!E36*0.05))*('SIMULADOR - DADOS'!F22*'SIMULADOR - DADOS'!F24*'SIMULADOR - DADOS'!F25*'SIMULADOR - DADOS'!F26*'SIMULADOR - DADOS'!F27*'SIMULADOR - DADOS'!I24)),-1))</f>
        <v>220</v>
      </c>
      <c r="K515" s="5">
        <f>IF((ROUND((H506*'COEFICIENTES A ALTERAR'!E21*('SIMULADOR - DADOS'!F22*'SIMULADOR - DADOS'!F24*'SIMULADOR - DADOS'!F25*'SIMULADOR - DADOS'!F26*'SIMULADOR - DADOS'!F27*'SIMULADOR - DADOS'!I24)),-1))&lt;ROUND(('COEFICIENTES A ALTERAR'!E29),-1),ROUND(('COEFICIENTES A ALTERAR'!E29),-1),ROUND((H506*'COEFICIENTES A ALTERAR'!E21*('SIMULADOR - DADOS'!F22*'SIMULADOR - DADOS'!F24*'SIMULADOR - DADOS'!F25*'SIMULADOR - DADOS'!F26*'SIMULADOR - DADOS'!F27*'SIMULADOR - DADOS'!I24)),-1))</f>
        <v>220</v>
      </c>
      <c r="N515" s="68">
        <f t="shared" ref="N515:N516" si="21">ROUND(((K515/H515)-1),1)</f>
        <v>0</v>
      </c>
      <c r="O515" s="68">
        <f>IF(N515&gt;N512,N515,N512)</f>
        <v>0</v>
      </c>
    </row>
    <row r="516" spans="2:15" s="2" customFormat="1" ht="15" hidden="1" x14ac:dyDescent="0.2">
      <c r="B516" s="2" t="s">
        <v>410</v>
      </c>
      <c r="H516" s="5">
        <f>IF((ROUND((H506*'COEFICIENTES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ALTERAR'!E29),-1),ROUND((H506*'COEFICIENTES A ALTERAR'!E23*(1+('COEFICIENTES A ALTERAR'!E36*0.05))*('SIMULADOR - DADOS'!F22*'SIMULADOR - DADOS'!F24*'SIMULADOR - DADOS'!F25*'SIMULADOR - DADOS'!F26*'SIMULADOR - DADOS'!F27*'SIMULADOR - DADOS'!I24)),-1))</f>
        <v>220</v>
      </c>
      <c r="K516" s="5">
        <f>IF((ROUND((H506*'COEFICIENTES A ALTERAR'!E23*('SIMULADOR - DADOS'!F22*'SIMULADOR - DADOS'!F24*'SIMULADOR - DADOS'!F25*'SIMULADOR - DADOS'!F26*'SIMULADOR - DADOS'!F27*'SIMULADOR - DADOS'!I24)),-1))&lt;ROUND(('COEFICIENTES A ALTERAR'!E29),-1),ROUND(('COEFICIENTES A ALTERAR'!E29),-1),ROUND((H506*'COEFICIENTES A ALTERAR'!E23*('SIMULADOR - DADOS'!F22*'SIMULADOR - DADOS'!F24*'SIMULADOR - DADOS'!F25*'SIMULADOR - DADOS'!F26*'SIMULADOR - DADOS'!F27*'SIMULADOR - DADOS'!I24)),-1))</f>
        <v>220</v>
      </c>
      <c r="N516" s="68">
        <f t="shared" si="21"/>
        <v>0</v>
      </c>
      <c r="O516" s="68">
        <f t="shared" si="20"/>
        <v>0</v>
      </c>
    </row>
    <row r="517" spans="2:15" s="2" customFormat="1" ht="15" hidden="1" x14ac:dyDescent="0.2">
      <c r="B517" s="2" t="s">
        <v>411</v>
      </c>
      <c r="H517" s="5"/>
      <c r="K517" s="5"/>
      <c r="N517" s="68"/>
      <c r="O517" s="68"/>
    </row>
    <row r="518" spans="2:15" s="2" customFormat="1" ht="15" hidden="1" x14ac:dyDescent="0.2">
      <c r="B518" s="2" t="s">
        <v>431</v>
      </c>
      <c r="H518" s="5"/>
      <c r="K518" s="5"/>
      <c r="N518" s="68"/>
      <c r="O518" s="68"/>
    </row>
    <row r="519" spans="2:15" s="2" customFormat="1" ht="15" hidden="1" x14ac:dyDescent="0.2">
      <c r="B519" s="2" t="s">
        <v>432</v>
      </c>
      <c r="H519" s="5"/>
      <c r="K519" s="5"/>
      <c r="N519" s="68"/>
      <c r="O519" s="68"/>
    </row>
    <row r="520" spans="2:15" s="2" customFormat="1" ht="15" hidden="1" x14ac:dyDescent="0.2">
      <c r="B520" s="2" t="s">
        <v>433</v>
      </c>
      <c r="H520" s="5"/>
      <c r="J520" s="126"/>
      <c r="K520" s="127"/>
      <c r="N520" s="68"/>
      <c r="O520" s="55"/>
    </row>
    <row r="521" spans="2:15" hidden="1" x14ac:dyDescent="0.2"/>
    <row r="522" spans="2:15" hidden="1" x14ac:dyDescent="0.2"/>
    <row r="523" spans="2:15" hidden="1" x14ac:dyDescent="0.2"/>
    <row r="524" spans="2:15" ht="15" hidden="1" x14ac:dyDescent="0.2">
      <c r="B524" s="2" t="s">
        <v>473</v>
      </c>
      <c r="H524" s="55">
        <f>(0.75*'SIMULADOR - DADOS'!E15*(0.95^('SIMULADOR - DADOS'!E15/100)))+(1.5*'SIMULADOR - DADOS'!E15*(0.5^('SIMULADOR - DADOS'!E17))*(0.95^('SIMULADOR - DADOS'!E15/100)))</f>
        <v>0</v>
      </c>
      <c r="I524" s="2" t="s">
        <v>446</v>
      </c>
      <c r="K524" s="32"/>
      <c r="L524" s="32"/>
    </row>
    <row r="525" spans="2:15" ht="15" hidden="1" x14ac:dyDescent="0.2">
      <c r="B525" s="2" t="s">
        <v>451</v>
      </c>
      <c r="H525" s="55"/>
      <c r="I525" s="2"/>
      <c r="K525" s="32"/>
      <c r="L525" s="32"/>
    </row>
    <row r="526" spans="2:15" s="2" customFormat="1" ht="15" hidden="1" x14ac:dyDescent="0.2">
      <c r="B526" s="2" t="s">
        <v>378</v>
      </c>
      <c r="H526" s="5"/>
      <c r="K526" s="5"/>
      <c r="N526" s="68"/>
    </row>
    <row r="527" spans="2:15" s="2" customFormat="1" ht="15" hidden="1" x14ac:dyDescent="0.2">
      <c r="B527" s="2" t="s">
        <v>395</v>
      </c>
      <c r="H527" s="5">
        <f>IF((ROUND((H524*'COEFICIENTES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ALTERAR'!E29),-1),ROUND((H524*'COEFICIENTES A ALTERAR'!E7*(1+('COEFICIENTES A ALTERAR'!E36*0.05))*('SIMULADOR - DADOS'!F22*'SIMULADOR - DADOS'!F24*'SIMULADOR - DADOS'!F25*'SIMULADOR - DADOS'!F26*'SIMULADOR - DADOS'!F27*'SIMULADOR - DADOS'!I24)),-1))</f>
        <v>220</v>
      </c>
      <c r="K527" s="5">
        <f>IF((ROUND((H524*'COEFICIENTES A ALTERAR'!E7*('SIMULADOR - DADOS'!F22*'SIMULADOR - DADOS'!F24*'SIMULADOR - DADOS'!F25*'SIMULADOR - DADOS'!F26*'SIMULADOR - DADOS'!F27*'SIMULADOR - DADOS'!I24)),-1))&lt;ROUND(('COEFICIENTES A ALTERAR'!E29),-1),ROUND(('COEFICIENTES A ALTERAR'!E29),-1),ROUND((H524*'COEFICIENTES A ALTERAR'!E7*('SIMULADOR - DADOS'!F22*'SIMULADOR - DADOS'!F24*'SIMULADOR - DADOS'!F25*'SIMULADOR - DADOS'!F26*'SIMULADOR - DADOS'!F27*'SIMULADOR - DADOS'!I24)),-1))</f>
        <v>220</v>
      </c>
      <c r="N527" s="68">
        <f t="shared" ref="N527" si="22">ROUND(((K527/H527)-1),1)</f>
        <v>0</v>
      </c>
    </row>
    <row r="528" spans="2:15" s="2" customFormat="1" ht="15" hidden="1" x14ac:dyDescent="0.2">
      <c r="B528" s="2" t="s">
        <v>426</v>
      </c>
      <c r="H528" s="5"/>
      <c r="K528" s="5"/>
      <c r="N528" s="68"/>
      <c r="O528" s="68"/>
    </row>
    <row r="529" spans="2:15" s="2" customFormat="1" ht="15" hidden="1" x14ac:dyDescent="0.2">
      <c r="B529" s="2" t="s">
        <v>405</v>
      </c>
      <c r="H529" s="5"/>
      <c r="K529" s="5"/>
      <c r="N529" s="68"/>
      <c r="O529" s="68"/>
    </row>
    <row r="530" spans="2:15" s="2" customFormat="1" ht="15" hidden="1" x14ac:dyDescent="0.2">
      <c r="B530" s="2" t="s">
        <v>406</v>
      </c>
      <c r="H530" s="5"/>
      <c r="K530" s="5"/>
      <c r="N530" s="68"/>
      <c r="O530" s="68"/>
    </row>
    <row r="531" spans="2:15" s="2" customFormat="1" ht="15" hidden="1" x14ac:dyDescent="0.2">
      <c r="B531" s="2" t="s">
        <v>407</v>
      </c>
      <c r="H531" s="5"/>
      <c r="K531" s="5"/>
      <c r="N531" s="68"/>
      <c r="O531" s="68"/>
    </row>
    <row r="532" spans="2:15" s="2" customFormat="1" ht="15" hidden="1" x14ac:dyDescent="0.2">
      <c r="B532" s="2" t="s">
        <v>408</v>
      </c>
      <c r="H532" s="5"/>
      <c r="K532" s="5"/>
      <c r="N532" s="68"/>
      <c r="O532" s="68"/>
    </row>
    <row r="533" spans="2:15" s="2" customFormat="1" ht="15" hidden="1" x14ac:dyDescent="0.2">
      <c r="B533" s="2" t="s">
        <v>409</v>
      </c>
      <c r="H533" s="5"/>
      <c r="K533" s="5"/>
      <c r="N533" s="68"/>
      <c r="O533" s="68"/>
    </row>
    <row r="534" spans="2:15" s="2" customFormat="1" ht="15" hidden="1" x14ac:dyDescent="0.2">
      <c r="B534" s="2" t="s">
        <v>410</v>
      </c>
      <c r="H534" s="5"/>
      <c r="K534" s="5"/>
      <c r="N534" s="68"/>
      <c r="O534" s="68"/>
    </row>
    <row r="535" spans="2:15" s="2" customFormat="1" ht="15" hidden="1" x14ac:dyDescent="0.2">
      <c r="B535" s="2" t="s">
        <v>411</v>
      </c>
      <c r="H535" s="5"/>
      <c r="K535" s="5"/>
      <c r="N535" s="68"/>
      <c r="O535" s="68"/>
    </row>
    <row r="536" spans="2:15" s="2" customFormat="1" ht="15" hidden="1" x14ac:dyDescent="0.2">
      <c r="B536" s="2" t="s">
        <v>431</v>
      </c>
      <c r="H536" s="5"/>
      <c r="K536" s="5"/>
      <c r="N536" s="68"/>
      <c r="O536" s="68"/>
    </row>
    <row r="537" spans="2:15" s="2" customFormat="1" ht="15" hidden="1" x14ac:dyDescent="0.2">
      <c r="B537" s="2" t="s">
        <v>432</v>
      </c>
      <c r="H537" s="5"/>
      <c r="K537" s="5"/>
      <c r="N537" s="68"/>
      <c r="O537" s="68"/>
    </row>
    <row r="538" spans="2:15" s="2" customFormat="1" ht="15" hidden="1" x14ac:dyDescent="0.2">
      <c r="B538" s="2" t="s">
        <v>433</v>
      </c>
      <c r="H538" s="5"/>
      <c r="J538" s="126"/>
      <c r="K538" s="127"/>
      <c r="N538" s="68"/>
      <c r="O538" s="55"/>
    </row>
    <row r="539" spans="2:15" hidden="1" x14ac:dyDescent="0.2"/>
    <row r="540" spans="2:15" hidden="1" x14ac:dyDescent="0.2"/>
    <row r="541" spans="2:15" hidden="1" x14ac:dyDescent="0.2"/>
    <row r="542" spans="2:15" ht="15" hidden="1" x14ac:dyDescent="0.2">
      <c r="B542" s="2" t="s">
        <v>474</v>
      </c>
      <c r="H542" s="55">
        <f>'SIMULADOR - DADOS'!E15*(0.95^('SIMULADOR - DADOS'!E15/250))</f>
        <v>0</v>
      </c>
      <c r="I542" s="2" t="s">
        <v>446</v>
      </c>
      <c r="K542" s="32"/>
      <c r="L542" s="32"/>
    </row>
    <row r="543" spans="2:15" ht="15" hidden="1" x14ac:dyDescent="0.2">
      <c r="B543" s="2" t="s">
        <v>451</v>
      </c>
      <c r="H543" s="55">
        <f>(H542*2)+(('SIMULADOR - DADOS'!E18-'SIMULADOR - CUSTO PROJETOS'!H542)*0.2)</f>
        <v>0</v>
      </c>
      <c r="I543" s="2" t="s">
        <v>446</v>
      </c>
      <c r="K543" s="32"/>
      <c r="L543" s="32"/>
    </row>
    <row r="544" spans="2:15" s="2" customFormat="1" ht="15" hidden="1" x14ac:dyDescent="0.2">
      <c r="B544" s="2" t="s">
        <v>378</v>
      </c>
      <c r="H544" s="5">
        <f>IF((ROUND((H543*'COEFICIENTES A ALTERAR'!E7*0.1*('SIMULADOR - DADOS'!F22*'SIMULADOR - DADOS'!F24*'SIMULADOR - DADOS'!F25*'SIMULADOR - DADOS'!F26*'SIMULADOR - DADOS'!F27*'SIMULADOR - DADOS'!I24)),-1))&lt;ROUND(('COEFICIENTES A ALTERAR'!E29),-1),ROUND(('COEFICIENTES A ALTERAR'!E29),-1),ROUND((H543*'COEFICIENTES A ALTERAR'!E7*0.1*('SIMULADOR - DADOS'!F22*'SIMULADOR - DADOS'!F24*'SIMULADOR - DADOS'!F25*'SIMULADOR - DADOS'!F26*'SIMULADOR - DADOS'!F27*'SIMULADOR - DADOS'!I24)),-1))</f>
        <v>220</v>
      </c>
      <c r="K544" s="5"/>
      <c r="N544" s="68"/>
    </row>
    <row r="545" spans="2:15" s="2" customFormat="1" ht="15" hidden="1" x14ac:dyDescent="0.2">
      <c r="B545" s="2" t="s">
        <v>395</v>
      </c>
      <c r="H545" s="5">
        <f>IF((ROUND((H542*'COEFICIENTES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ALTERAR'!E7*(1+('COEFICIENTES A ALTERAR'!E36*0.05))*('SIMULADOR - DADOS'!F22*'SIMULADOR - DADOS'!F24*'SIMULADOR - DADOS'!F25*'SIMULADOR - DADOS'!F26*'SIMULADOR - DADOS'!F27*'SIMULADOR - DADOS'!I24)),-1))</f>
        <v>220</v>
      </c>
      <c r="K545" s="5">
        <f>IF((ROUND((H542*'COEFICIENTES A ALTERAR'!E7*('SIMULADOR - DADOS'!F22*'SIMULADOR - DADOS'!F24*'SIMULADOR - DADOS'!F25*'SIMULADOR - DADOS'!F26*'SIMULADOR - DADOS'!F27*'SIMULADOR - DADOS'!I24)),-1))&lt;ROUND(('COEFICIENTES A ALTERAR'!E29),-1),ROUND(('COEFICIENTES A ALTERAR'!E29),-1),ROUND((H542*'COEFICIENTES A ALTERAR'!E7*('SIMULADOR - DADOS'!F22*'SIMULADOR - DADOS'!F24*'SIMULADOR - DADOS'!F25*'SIMULADOR - DADOS'!F26*'SIMULADOR - DADOS'!F27*'SIMULADOR - DADOS'!I24)),-1))</f>
        <v>220</v>
      </c>
      <c r="N545" s="68">
        <f t="shared" ref="N545:N553" si="23">ROUND(((K545/H545)-1),1)</f>
        <v>0</v>
      </c>
    </row>
    <row r="546" spans="2:15" s="2" customFormat="1" ht="15" hidden="1" x14ac:dyDescent="0.2">
      <c r="B546" s="2" t="s">
        <v>426</v>
      </c>
      <c r="H546" s="5">
        <f>IF((ROUND((H542*'COEFICIENTES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ALTERAR'!E11*(1+('COEFICIENTES A ALTERAR'!E36*0.05))*('SIMULADOR - DADOS'!F22*'SIMULADOR - DADOS'!F24*'SIMULADOR - DADOS'!F25*'SIMULADOR - DADOS'!F26*'SIMULADOR - DADOS'!F27*'SIMULADOR - DADOS'!I24)),-1))</f>
        <v>220</v>
      </c>
      <c r="K546" s="5">
        <f>IF((ROUND((H542*'COEFICIENTES A ALTERAR'!E11*('SIMULADOR - DADOS'!F22*'SIMULADOR - DADOS'!F24*'SIMULADOR - DADOS'!F25*'SIMULADOR - DADOS'!F26*'SIMULADOR - DADOS'!F27*'SIMULADOR - DADOS'!I24)),-1))&lt;ROUND(('COEFICIENTES A ALTERAR'!E29),-1),ROUND(('COEFICIENTES A ALTERAR'!E29),-1),ROUND((H542*'COEFICIENTES A ALTERAR'!E11*('SIMULADOR - DADOS'!F22*'SIMULADOR - DADOS'!F24*'SIMULADOR - DADOS'!F25*'SIMULADOR - DADOS'!F26*'SIMULADOR - DADOS'!F27*'SIMULADOR - DADOS'!I24)),-1))</f>
        <v>220</v>
      </c>
      <c r="N546" s="68">
        <f t="shared" si="23"/>
        <v>0</v>
      </c>
      <c r="O546" s="68"/>
    </row>
    <row r="547" spans="2:15" s="2" customFormat="1" ht="15" hidden="1" x14ac:dyDescent="0.2">
      <c r="B547" s="2" t="s">
        <v>405</v>
      </c>
      <c r="H547" s="5">
        <f>IF((ROUND((H542*'COEFICIENTES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ALTERAR'!E13*(1+('COEFICIENTES A ALTERAR'!E36*0.05))*('SIMULADOR - DADOS'!F22*'SIMULADOR - DADOS'!F24*'SIMULADOR - DADOS'!F25*'SIMULADOR - DADOS'!F26*'SIMULADOR - DADOS'!F27*'SIMULADOR - DADOS'!I24)),-1))</f>
        <v>220</v>
      </c>
      <c r="K547" s="5">
        <f>IF((ROUND((H542*'COEFICIENTES A ALTERAR'!E13*('SIMULADOR - DADOS'!F22*'SIMULADOR - DADOS'!F24*'SIMULADOR - DADOS'!F25*'SIMULADOR - DADOS'!F26*'SIMULADOR - DADOS'!F27*'SIMULADOR - DADOS'!I24)),-1))&lt;ROUND(('COEFICIENTES A ALTERAR'!E29),-1),ROUND(('COEFICIENTES A ALTERAR'!E29),-1),ROUND((H542*'COEFICIENTES A ALTERAR'!E13*('SIMULADOR - DADOS'!F22*'SIMULADOR - DADOS'!F24*'SIMULADOR - DADOS'!F25*'SIMULADOR - DADOS'!F26*'SIMULADOR - DADOS'!F27*'SIMULADOR - DADOS'!I24)),-1))</f>
        <v>220</v>
      </c>
      <c r="N547" s="68">
        <f t="shared" si="23"/>
        <v>0</v>
      </c>
      <c r="O547" s="68">
        <f t="shared" ref="O547:O553" si="24">IF(N547&gt;N546,N547,N546)</f>
        <v>0</v>
      </c>
    </row>
    <row r="548" spans="2:15" s="2" customFormat="1" ht="15" hidden="1" x14ac:dyDescent="0.2">
      <c r="B548" s="2" t="s">
        <v>406</v>
      </c>
      <c r="H548" s="5">
        <f>IF((ROUND((H542*'COEFICIENTES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ALTERAR'!E15*(1+('COEFICIENTES A ALTERAR'!E36*0.05))*('SIMULADOR - DADOS'!F22*'SIMULADOR - DADOS'!F24*'SIMULADOR - DADOS'!F25*'SIMULADOR - DADOS'!F26*'SIMULADOR - DADOS'!F27*'SIMULADOR - DADOS'!I24)),-1))</f>
        <v>220</v>
      </c>
      <c r="K548" s="5">
        <f>IF((ROUND((H542*'COEFICIENTES A ALTERAR'!E15*('SIMULADOR - DADOS'!F22*'SIMULADOR - DADOS'!F24*'SIMULADOR - DADOS'!F25*'SIMULADOR - DADOS'!F26*'SIMULADOR - DADOS'!F27*'SIMULADOR - DADOS'!I24)),-1))&lt;ROUND(('COEFICIENTES A ALTERAR'!E29),-1),ROUND(('COEFICIENTES A ALTERAR'!E29),-1),ROUND((H542*'COEFICIENTES A ALTERAR'!E15*('SIMULADOR - DADOS'!F22*'SIMULADOR - DADOS'!F24*'SIMULADOR - DADOS'!F25*'SIMULADOR - DADOS'!F26*'SIMULADOR - DADOS'!F27*'SIMULADOR - DADOS'!I24)),-1))</f>
        <v>220</v>
      </c>
      <c r="N548" s="68">
        <f t="shared" si="23"/>
        <v>0</v>
      </c>
      <c r="O548" s="68">
        <f t="shared" si="24"/>
        <v>0</v>
      </c>
    </row>
    <row r="549" spans="2:15" s="2" customFormat="1" ht="15" hidden="1" x14ac:dyDescent="0.2">
      <c r="B549" s="2" t="s">
        <v>407</v>
      </c>
      <c r="H549" s="5">
        <f>IF((ROUND((H542*'COEFICIENTES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ALTERAR'!E17*(1+('COEFICIENTES A ALTERAR'!E36*0.05))*('SIMULADOR - DADOS'!F22*'SIMULADOR - DADOS'!F24*'SIMULADOR - DADOS'!F25*'SIMULADOR - DADOS'!F26*'SIMULADOR - DADOS'!F27*'SIMULADOR - DADOS'!I24)),-1))</f>
        <v>220</v>
      </c>
      <c r="K549" s="5">
        <f>IF((ROUND((H542*'COEFICIENTES A ALTERAR'!E17*('SIMULADOR - DADOS'!F22*'SIMULADOR - DADOS'!F24*'SIMULADOR - DADOS'!F25*'SIMULADOR - DADOS'!F26*'SIMULADOR - DADOS'!F27*'SIMULADOR - DADOS'!I24)),-1))&lt;ROUND(('COEFICIENTES A ALTERAR'!E29),-1),ROUND(('COEFICIENTES A ALTERAR'!E29),-1),ROUND((H542*'COEFICIENTES A ALTERAR'!E17*('SIMULADOR - DADOS'!F22*'SIMULADOR - DADOS'!F24*'SIMULADOR - DADOS'!F25*'SIMULADOR - DADOS'!F26*'SIMULADOR - DADOS'!F27*'SIMULADOR - DADOS'!I24)),-1))</f>
        <v>220</v>
      </c>
      <c r="N549" s="68">
        <f t="shared" si="23"/>
        <v>0</v>
      </c>
      <c r="O549" s="68">
        <f t="shared" si="24"/>
        <v>0</v>
      </c>
    </row>
    <row r="550" spans="2:15" s="2" customFormat="1" ht="15" hidden="1" x14ac:dyDescent="0.2">
      <c r="B550" s="2" t="s">
        <v>408</v>
      </c>
      <c r="H550" s="5"/>
      <c r="K550" s="5"/>
      <c r="N550" s="68"/>
      <c r="O550" s="68"/>
    </row>
    <row r="551" spans="2:15" s="2" customFormat="1" ht="15" hidden="1" x14ac:dyDescent="0.2">
      <c r="B551" s="2" t="s">
        <v>409</v>
      </c>
      <c r="H551" s="5">
        <f>IF((ROUND((H542*'COEFICIENTES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ALTERAR'!E21*(1+('COEFICIENTES A ALTERAR'!E36*0.05))*('SIMULADOR - DADOS'!F22*'SIMULADOR - DADOS'!F24*'SIMULADOR - DADOS'!F25*'SIMULADOR - DADOS'!F26*'SIMULADOR - DADOS'!F27*'SIMULADOR - DADOS'!I24)),-1))</f>
        <v>220</v>
      </c>
      <c r="K551" s="5">
        <f>IF((ROUND((H542*'COEFICIENTES A ALTERAR'!E21*('SIMULADOR - DADOS'!F22*'SIMULADOR - DADOS'!F24*'SIMULADOR - DADOS'!F25*'SIMULADOR - DADOS'!F26*'SIMULADOR - DADOS'!F27*'SIMULADOR - DADOS'!I24)),-1))&lt;ROUND(('COEFICIENTES A ALTERAR'!E29),-1),ROUND(('COEFICIENTES A ALTERAR'!E29),-1),ROUND((H542*'COEFICIENTES A ALTERAR'!E21*('SIMULADOR - DADOS'!F22*'SIMULADOR - DADOS'!F24*'SIMULADOR - DADOS'!F25*'SIMULADOR - DADOS'!F26*'SIMULADOR - DADOS'!F27*'SIMULADOR - DADOS'!I24)),-1))</f>
        <v>220</v>
      </c>
      <c r="N551" s="68">
        <f t="shared" si="23"/>
        <v>0</v>
      </c>
      <c r="O551" s="68">
        <f>IF(N551&gt;N549,N551,N549)</f>
        <v>0</v>
      </c>
    </row>
    <row r="552" spans="2:15" s="2" customFormat="1" ht="15" hidden="1" x14ac:dyDescent="0.2">
      <c r="B552" s="2" t="s">
        <v>410</v>
      </c>
      <c r="H552" s="5">
        <f>IF((ROUND((H542*'COEFICIENTES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ALTERAR'!E29),-1),ROUND((H542*'COEFICIENTES A ALTERAR'!E23*(1+('COEFICIENTES A ALTERAR'!E36*0.05))*('SIMULADOR - DADOS'!F22*'SIMULADOR - DADOS'!F24*'SIMULADOR - DADOS'!F25*'SIMULADOR - DADOS'!F26*'SIMULADOR - DADOS'!F27*'SIMULADOR - DADOS'!I24)),-1))</f>
        <v>220</v>
      </c>
      <c r="K552" s="5">
        <f>IF((ROUND((H542*'COEFICIENTES A ALTERAR'!E23*('SIMULADOR - DADOS'!F22*'SIMULADOR - DADOS'!F24*'SIMULADOR - DADOS'!F25*'SIMULADOR - DADOS'!F26*'SIMULADOR - DADOS'!F27*'SIMULADOR - DADOS'!I24)),-1))&lt;ROUND(('COEFICIENTES A ALTERAR'!E29),-1),ROUND(('COEFICIENTES A ALTERAR'!E29),-1),ROUND((H542*'COEFICIENTES A ALTERAR'!E23*('SIMULADOR - DADOS'!F22*'SIMULADOR - DADOS'!F24*'SIMULADOR - DADOS'!F25*'SIMULADOR - DADOS'!F26*'SIMULADOR - DADOS'!F27*'SIMULADOR - DADOS'!I24)),-1))</f>
        <v>220</v>
      </c>
      <c r="N552" s="68">
        <f t="shared" si="23"/>
        <v>0</v>
      </c>
      <c r="O552" s="68">
        <f t="shared" si="24"/>
        <v>0</v>
      </c>
    </row>
    <row r="553" spans="2:15" s="2" customFormat="1" ht="15" hidden="1" x14ac:dyDescent="0.2">
      <c r="B553" s="2" t="s">
        <v>411</v>
      </c>
      <c r="H553" s="5">
        <f>ROUND(('COEFICIENTES A ALTERAR'!E27*(1.5^(O556-1))*(1+('COEFICIENTES A ALTERAR'!E36*0.05))*('SIMULADOR - DADOS'!F22*'SIMULADOR - DADOS'!F24*'SIMULADOR - DADOS'!F25*'SIMULADOR - DADOS'!F26*'SIMULADOR - DADOS'!F27*'SIMULADOR - DADOS'!I24)),-1)</f>
        <v>0</v>
      </c>
      <c r="K553" s="5">
        <f>ROUND(('COEFICIENTES A ALTERAR'!E27*(1.5^(O556-1))*('SIMULADOR - DADOS'!F22*'SIMULADOR - DADOS'!F24*'SIMULADOR - DADOS'!F25*'SIMULADOR - DADOS'!F26*'SIMULADOR - DADOS'!F27*'SIMULADOR - DADOS'!I24)),-1)</f>
        <v>0</v>
      </c>
      <c r="N553" s="68" t="e">
        <f t="shared" si="23"/>
        <v>#DIV/0!</v>
      </c>
      <c r="O553" s="68" t="e">
        <f t="shared" si="24"/>
        <v>#DIV/0!</v>
      </c>
    </row>
    <row r="554" spans="2:15" s="2" customFormat="1" ht="15" hidden="1" x14ac:dyDescent="0.2">
      <c r="B554" s="2" t="s">
        <v>431</v>
      </c>
      <c r="H554" s="5">
        <f>ROUND(('COEFICIENTES A ALTERAR'!E31*(1.5^(O556-1))*(1+('COEFICIENTES A ALTERAR'!E36*0.05))*('SIMULADOR - DADOS'!F22*'SIMULADOR - DADOS'!F24*'SIMULADOR - DADOS'!F25*'SIMULADOR - DADOS'!F26*'SIMULADOR - DADOS'!F27*'SIMULADOR - DADOS'!I24)),-1)</f>
        <v>0</v>
      </c>
      <c r="K554" s="5"/>
      <c r="N554" s="68"/>
      <c r="O554" s="68"/>
    </row>
    <row r="555" spans="2:15" s="2" customFormat="1" ht="15" hidden="1" x14ac:dyDescent="0.2">
      <c r="B555" s="2" t="s">
        <v>432</v>
      </c>
      <c r="H555" s="5">
        <f>IF(H554/2&lt;'COEFICIENTES A ALTERAR'!E31,ROUND(('COEFICIENTES A ALTERAR'!E31),-1),H554/2)</f>
        <v>100</v>
      </c>
      <c r="K555" s="5"/>
      <c r="N555" s="68"/>
      <c r="O555" s="68"/>
    </row>
    <row r="556" spans="2:15" s="2" customFormat="1" ht="15" hidden="1" x14ac:dyDescent="0.2">
      <c r="B556" s="2" t="s">
        <v>433</v>
      </c>
      <c r="H556" s="5">
        <f>ROUND(('COEFICIENTES A ALTERAR'!E33*(1.5^(O556-1))*(1+('COEFICIENTES A ALTERAR'!E36*0.05))*('SIMULADOR - DADOS'!F22*'SIMULADOR - DADOS'!F24*'SIMULADOR - DADOS'!F25*'SIMULADOR - DADOS'!F26*'SIMULADOR - DADOS'!F27*'SIMULADOR - DADOS'!I24)),-1)</f>
        <v>0</v>
      </c>
      <c r="J556" s="126">
        <f>H542*'COEFICIENTES A ALTERAR'!E39</f>
        <v>0</v>
      </c>
      <c r="K556" s="127"/>
      <c r="N556" s="68" t="s">
        <v>444</v>
      </c>
      <c r="O556" s="55">
        <f>IF(J556&lt;'COEFICIENTES A ALTERAR'!E40,1,IF('SIMULADOR - CUSTO PROJETOS'!J556&lt;'COEFICIENTES A ALTERAR'!E41,2,IF('SIMULADOR - CUSTO PROJETOS'!J556&lt;'COEFICIENTES A ALTERAR'!E42,3,IF('SIMULADOR - CUSTO PROJETOS'!J556&lt;'COEFICIENTES A ALTERAR'!E43,4,IF('SIMULADOR - CUSTO PROJETOS'!J556&lt;'COEFICIENTES A ALTERAR'!E44,5,IF('SIMULADOR - CUSTO PROJETOS'!J556&lt;'COEFICIENTES A ALTERAR'!E45,6,IF('SIMULADOR - CUSTO PROJETOS'!J556&lt;'COEFICIENTES A ALTERAR'!E46,7,IF('SIMULADOR - CUSTO PROJETOS'!J556&lt;'COEFICIENTES A ALTERAR'!E47,8,9))))))))</f>
        <v>1</v>
      </c>
    </row>
    <row r="557" spans="2:15" hidden="1" x14ac:dyDescent="0.2"/>
    <row r="558" spans="2:15" hidden="1" x14ac:dyDescent="0.2"/>
    <row r="559" spans="2:15" hidden="1" x14ac:dyDescent="0.2"/>
    <row r="560" spans="2:15" ht="15" hidden="1" x14ac:dyDescent="0.2">
      <c r="B560" s="2" t="s">
        <v>475</v>
      </c>
      <c r="H560" s="55">
        <f>'SIMULADOR - DADOS'!E15*(0.95^('SIMULADOR - DADOS'!E15/250))</f>
        <v>0</v>
      </c>
      <c r="I560" s="2" t="s">
        <v>446</v>
      </c>
      <c r="K560" s="32"/>
      <c r="L560" s="32"/>
    </row>
    <row r="561" spans="2:15" ht="15" hidden="1" x14ac:dyDescent="0.2">
      <c r="B561" s="2" t="s">
        <v>451</v>
      </c>
      <c r="H561" s="55"/>
      <c r="I561" s="2"/>
      <c r="K561" s="32"/>
      <c r="L561" s="32"/>
    </row>
    <row r="562" spans="2:15" s="2" customFormat="1" ht="15" hidden="1" x14ac:dyDescent="0.2">
      <c r="B562" s="2" t="s">
        <v>378</v>
      </c>
      <c r="H562" s="5"/>
      <c r="K562" s="5"/>
      <c r="N562" s="68"/>
    </row>
    <row r="563" spans="2:15" s="2" customFormat="1" ht="15" hidden="1" x14ac:dyDescent="0.2">
      <c r="B563" s="2" t="s">
        <v>395</v>
      </c>
      <c r="H563" s="5">
        <f>IF((ROUND((H560*'COEFICIENTES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ALTERAR'!E7*(1+('COEFICIENTES A ALTERAR'!E36*0.05))*('SIMULADOR - DADOS'!F22*'SIMULADOR - DADOS'!F24*'SIMULADOR - DADOS'!F25*'SIMULADOR - DADOS'!F26*'SIMULADOR - DADOS'!F27*'SIMULADOR - DADOS'!I24)),-1))</f>
        <v>220</v>
      </c>
      <c r="K563" s="5">
        <f>IF((ROUND((H560*'COEFICIENTES A ALTERAR'!E7*('SIMULADOR - DADOS'!F22*'SIMULADOR - DADOS'!F24*'SIMULADOR - DADOS'!F25*'SIMULADOR - DADOS'!F26*'SIMULADOR - DADOS'!F27*'SIMULADOR - DADOS'!I24)),-1))&lt;ROUND(('COEFICIENTES A ALTERAR'!E29),-1),ROUND(('COEFICIENTES A ALTERAR'!E29),-1),ROUND((H560*'COEFICIENTES A ALTERAR'!E7*('SIMULADOR - DADOS'!F22*'SIMULADOR - DADOS'!F24*'SIMULADOR - DADOS'!F25*'SIMULADOR - DADOS'!F26*'SIMULADOR - DADOS'!F27*'SIMULADOR - DADOS'!I24)),-1))</f>
        <v>220</v>
      </c>
      <c r="N563" s="68">
        <f t="shared" ref="N563:N567" si="25">ROUND(((K563/H563)-1),1)</f>
        <v>0</v>
      </c>
    </row>
    <row r="564" spans="2:15" s="2" customFormat="1" ht="15" hidden="1" x14ac:dyDescent="0.2">
      <c r="B564" s="2" t="s">
        <v>426</v>
      </c>
      <c r="H564" s="5">
        <f>IF((ROUND((H560*'COEFICIENTES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ALTERAR'!E11*(1+('COEFICIENTES A ALTERAR'!E36*0.05))*('SIMULADOR - DADOS'!F22*'SIMULADOR - DADOS'!F24*'SIMULADOR - DADOS'!F25*'SIMULADOR - DADOS'!F26*'SIMULADOR - DADOS'!F27*'SIMULADOR - DADOS'!I24)),-1))</f>
        <v>220</v>
      </c>
      <c r="K564" s="5">
        <f>IF((ROUND((H560*'COEFICIENTES A ALTERAR'!E11*('SIMULADOR - DADOS'!F22*'SIMULADOR - DADOS'!F24*'SIMULADOR - DADOS'!F25*'SIMULADOR - DADOS'!F26*'SIMULADOR - DADOS'!F27*'SIMULADOR - DADOS'!I24)),-1))&lt;ROUND(('COEFICIENTES A ALTERAR'!E29),-1),ROUND(('COEFICIENTES A ALTERAR'!E29),-1),ROUND((H560*'COEFICIENTES A ALTERAR'!E11*('SIMULADOR - DADOS'!F22*'SIMULADOR - DADOS'!F24*'SIMULADOR - DADOS'!F25*'SIMULADOR - DADOS'!F26*'SIMULADOR - DADOS'!F27*'SIMULADOR - DADOS'!I24)),-1))</f>
        <v>220</v>
      </c>
      <c r="N564" s="68">
        <f t="shared" si="25"/>
        <v>0</v>
      </c>
      <c r="O564" s="68"/>
    </row>
    <row r="565" spans="2:15" s="2" customFormat="1" ht="15" hidden="1" x14ac:dyDescent="0.2">
      <c r="B565" s="2" t="s">
        <v>405</v>
      </c>
      <c r="H565" s="5">
        <f>IF((ROUND((H560*'COEFICIENTES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ALTERAR'!E13*(1+('COEFICIENTES A ALTERAR'!E36*0.05))*('SIMULADOR - DADOS'!F22*'SIMULADOR - DADOS'!F24*'SIMULADOR - DADOS'!F25*'SIMULADOR - DADOS'!F26*'SIMULADOR - DADOS'!F27*'SIMULADOR - DADOS'!I24)),-1))</f>
        <v>220</v>
      </c>
      <c r="K565" s="5">
        <f>IF((ROUND((H560*'COEFICIENTES A ALTERAR'!E13*('SIMULADOR - DADOS'!F22*'SIMULADOR - DADOS'!F24*'SIMULADOR - DADOS'!F25*'SIMULADOR - DADOS'!F26*'SIMULADOR - DADOS'!F27*'SIMULADOR - DADOS'!I24)),-1))&lt;ROUND(('COEFICIENTES A ALTERAR'!E29),-1),ROUND(('COEFICIENTES A ALTERAR'!E29),-1),ROUND((H560*'COEFICIENTES A ALTERAR'!E13*('SIMULADOR - DADOS'!F22*'SIMULADOR - DADOS'!F24*'SIMULADOR - DADOS'!F25*'SIMULADOR - DADOS'!F26*'SIMULADOR - DADOS'!F27*'SIMULADOR - DADOS'!I24)),-1))</f>
        <v>220</v>
      </c>
      <c r="N565" s="68">
        <f t="shared" si="25"/>
        <v>0</v>
      </c>
      <c r="O565" s="68">
        <f t="shared" ref="O565:O567" si="26">IF(N565&gt;N564,N565,N564)</f>
        <v>0</v>
      </c>
    </row>
    <row r="566" spans="2:15" s="2" customFormat="1" ht="15" hidden="1" x14ac:dyDescent="0.2">
      <c r="B566" s="2" t="s">
        <v>406</v>
      </c>
      <c r="H566" s="5">
        <f>IF((ROUND((H560*'COEFICIENTES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ALTERAR'!E15*(1+('COEFICIENTES A ALTERAR'!E36*0.05))*('SIMULADOR - DADOS'!F22*'SIMULADOR - DADOS'!F24*'SIMULADOR - DADOS'!F25*'SIMULADOR - DADOS'!F26*'SIMULADOR - DADOS'!F27*'SIMULADOR - DADOS'!I24)),-1))</f>
        <v>220</v>
      </c>
      <c r="K566" s="5">
        <f>IF((ROUND((H560*'COEFICIENTES A ALTERAR'!E15*('SIMULADOR - DADOS'!F22*'SIMULADOR - DADOS'!F24*'SIMULADOR - DADOS'!F25*'SIMULADOR - DADOS'!F26*'SIMULADOR - DADOS'!F27*'SIMULADOR - DADOS'!I24)),-1))&lt;ROUND(('COEFICIENTES A ALTERAR'!E29),-1),ROUND(('COEFICIENTES A ALTERAR'!E29),-1),ROUND((H560*'COEFICIENTES A ALTERAR'!E15*('SIMULADOR - DADOS'!F22*'SIMULADOR - DADOS'!F24*'SIMULADOR - DADOS'!F25*'SIMULADOR - DADOS'!F26*'SIMULADOR - DADOS'!F27*'SIMULADOR - DADOS'!I24)),-1))</f>
        <v>220</v>
      </c>
      <c r="N566" s="68">
        <f t="shared" si="25"/>
        <v>0</v>
      </c>
      <c r="O566" s="68">
        <f t="shared" si="26"/>
        <v>0</v>
      </c>
    </row>
    <row r="567" spans="2:15" s="2" customFormat="1" ht="15" hidden="1" x14ac:dyDescent="0.2">
      <c r="B567" s="2" t="s">
        <v>407</v>
      </c>
      <c r="H567" s="5">
        <f>IF((ROUND((H560*'COEFICIENTES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ALTERAR'!E17*(1+('COEFICIENTES A ALTERAR'!E36*0.05))*('SIMULADOR - DADOS'!F22*'SIMULADOR - DADOS'!F24*'SIMULADOR - DADOS'!F25*'SIMULADOR - DADOS'!F26*'SIMULADOR - DADOS'!F27*'SIMULADOR - DADOS'!I24)),-1))</f>
        <v>220</v>
      </c>
      <c r="K567" s="5">
        <f>IF((ROUND((H560*'COEFICIENTES A ALTERAR'!E17*('SIMULADOR - DADOS'!F22*'SIMULADOR - DADOS'!F24*'SIMULADOR - DADOS'!F25*'SIMULADOR - DADOS'!F26*'SIMULADOR - DADOS'!F27*'SIMULADOR - DADOS'!I24)),-1))&lt;ROUND(('COEFICIENTES A ALTERAR'!E29),-1),ROUND(('COEFICIENTES A ALTERAR'!E29),-1),ROUND((H560*'COEFICIENTES A ALTERAR'!E17*('SIMULADOR - DADOS'!F22*'SIMULADOR - DADOS'!F24*'SIMULADOR - DADOS'!F25*'SIMULADOR - DADOS'!F26*'SIMULADOR - DADOS'!F27*'SIMULADOR - DADOS'!I24)),-1))</f>
        <v>220</v>
      </c>
      <c r="N567" s="68">
        <f t="shared" si="25"/>
        <v>0</v>
      </c>
      <c r="O567" s="68">
        <f t="shared" si="26"/>
        <v>0</v>
      </c>
    </row>
    <row r="568" spans="2:15" s="2" customFormat="1" ht="15" hidden="1" x14ac:dyDescent="0.2">
      <c r="B568" s="2" t="s">
        <v>408</v>
      </c>
      <c r="H568" s="5"/>
      <c r="K568" s="5"/>
      <c r="N568" s="68"/>
      <c r="O568" s="68"/>
    </row>
    <row r="569" spans="2:15" s="2" customFormat="1" ht="15" hidden="1" x14ac:dyDescent="0.2">
      <c r="B569" s="2" t="s">
        <v>409</v>
      </c>
      <c r="H569" s="5">
        <f>IF((ROUND((H560*'COEFICIENTES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ALTERAR'!E21*(1+('COEFICIENTES A ALTERAR'!E36*0.05))*('SIMULADOR - DADOS'!F22*'SIMULADOR - DADOS'!F24*'SIMULADOR - DADOS'!F25*'SIMULADOR - DADOS'!F26*'SIMULADOR - DADOS'!F27*'SIMULADOR - DADOS'!I24)),-1))</f>
        <v>220</v>
      </c>
      <c r="K569" s="5">
        <f>IF((ROUND((H560*'COEFICIENTES A ALTERAR'!E21*('SIMULADOR - DADOS'!F22*'SIMULADOR - DADOS'!F24*'SIMULADOR - DADOS'!F25*'SIMULADOR - DADOS'!F26*'SIMULADOR - DADOS'!F27*'SIMULADOR - DADOS'!I24)),-1))&lt;ROUND(('COEFICIENTES A ALTERAR'!E29),-1),ROUND(('COEFICIENTES A ALTERAR'!E29),-1),ROUND((H560*'COEFICIENTES A ALTERAR'!E21*('SIMULADOR - DADOS'!F22*'SIMULADOR - DADOS'!F24*'SIMULADOR - DADOS'!F25*'SIMULADOR - DADOS'!F26*'SIMULADOR - DADOS'!F27*'SIMULADOR - DADOS'!I24)),-1))</f>
        <v>220</v>
      </c>
      <c r="N569" s="68">
        <f t="shared" ref="N569:N571" si="27">ROUND(((K569/H569)-1),1)</f>
        <v>0</v>
      </c>
      <c r="O569" s="68">
        <f>IF(N569&gt;N567,N569,N567)</f>
        <v>0</v>
      </c>
    </row>
    <row r="570" spans="2:15" s="2" customFormat="1" ht="15" hidden="1" x14ac:dyDescent="0.2">
      <c r="B570" s="2" t="s">
        <v>410</v>
      </c>
      <c r="H570" s="5">
        <f>IF((ROUND((H560*'COEFICIENTES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ALTERAR'!E29),-1),ROUND((H560*'COEFICIENTES A ALTERAR'!E23*(1+('COEFICIENTES A ALTERAR'!E36*0.05))*('SIMULADOR - DADOS'!F22*'SIMULADOR - DADOS'!F24*'SIMULADOR - DADOS'!F25*'SIMULADOR - DADOS'!F26*'SIMULADOR - DADOS'!F27*'SIMULADOR - DADOS'!I24)),-1))</f>
        <v>220</v>
      </c>
      <c r="K570" s="5">
        <f>IF((ROUND((H560*'COEFICIENTES A ALTERAR'!E23*('SIMULADOR - DADOS'!F22*'SIMULADOR - DADOS'!F24*'SIMULADOR - DADOS'!F25*'SIMULADOR - DADOS'!F26*'SIMULADOR - DADOS'!F27*'SIMULADOR - DADOS'!I24)),-1))&lt;ROUND(('COEFICIENTES A ALTERAR'!E29),-1),ROUND(('COEFICIENTES A ALTERAR'!E29),-1),ROUND((H560*'COEFICIENTES A ALTERAR'!E23*('SIMULADOR - DADOS'!F22*'SIMULADOR - DADOS'!F24*'SIMULADOR - DADOS'!F25*'SIMULADOR - DADOS'!F26*'SIMULADOR - DADOS'!F27*'SIMULADOR - DADOS'!I24)),-1))</f>
        <v>220</v>
      </c>
      <c r="N570" s="68">
        <f t="shared" si="27"/>
        <v>0</v>
      </c>
      <c r="O570" s="68">
        <f t="shared" ref="O570:O571" si="28">IF(N570&gt;N569,N570,N569)</f>
        <v>0</v>
      </c>
    </row>
    <row r="571" spans="2:15" s="2" customFormat="1" ht="15" hidden="1" x14ac:dyDescent="0.2">
      <c r="B571" s="2" t="s">
        <v>411</v>
      </c>
      <c r="H571" s="5">
        <f>ROUND(('COEFICIENTES A ALTERAR'!E27*(1.5^(O574-1))*(1+('COEFICIENTES A ALTERAR'!E36*0.05))*('SIMULADOR - DADOS'!F22*'SIMULADOR - DADOS'!F24*'SIMULADOR - DADOS'!F25*'SIMULADOR - DADOS'!F26*'SIMULADOR - DADOS'!F27*'SIMULADOR - DADOS'!I24)),-1)</f>
        <v>0</v>
      </c>
      <c r="K571" s="5">
        <f>ROUND(('COEFICIENTES A ALTERAR'!E27*(1.5^(O574-1))*('SIMULADOR - DADOS'!F22*'SIMULADOR - DADOS'!F24*'SIMULADOR - DADOS'!F25*'SIMULADOR - DADOS'!F26*'SIMULADOR - DADOS'!F27*'SIMULADOR - DADOS'!I24)),-1)</f>
        <v>0</v>
      </c>
      <c r="N571" s="68" t="e">
        <f t="shared" si="27"/>
        <v>#DIV/0!</v>
      </c>
      <c r="O571" s="68" t="e">
        <f t="shared" si="28"/>
        <v>#DIV/0!</v>
      </c>
    </row>
    <row r="572" spans="2:15" s="2" customFormat="1" ht="15" hidden="1" x14ac:dyDescent="0.2">
      <c r="B572" s="2" t="s">
        <v>431</v>
      </c>
      <c r="H572" s="5">
        <f>ROUND(('COEFICIENTES A ALTERAR'!E31*(1.5^(O574-1))*(1+('COEFICIENTES A ALTERAR'!E36*0.05))*('SIMULADOR - DADOS'!F22*'SIMULADOR - DADOS'!F24*'SIMULADOR - DADOS'!F25*'SIMULADOR - DADOS'!F26*'SIMULADOR - DADOS'!F27*'SIMULADOR - DADOS'!I24)),-1)</f>
        <v>0</v>
      </c>
      <c r="K572" s="5"/>
      <c r="N572" s="68"/>
      <c r="O572" s="68"/>
    </row>
    <row r="573" spans="2:15" s="2" customFormat="1" ht="15" hidden="1" x14ac:dyDescent="0.2">
      <c r="B573" s="2" t="s">
        <v>432</v>
      </c>
      <c r="H573" s="5">
        <f>IF(H572/2&lt;'COEFICIENTES A ALTERAR'!E31,ROUND(('COEFICIENTES A ALTERAR'!E31),-1),H572/2)</f>
        <v>100</v>
      </c>
      <c r="K573" s="5"/>
      <c r="N573" s="68"/>
      <c r="O573" s="68"/>
    </row>
    <row r="574" spans="2:15" s="2" customFormat="1" ht="15" hidden="1" x14ac:dyDescent="0.2">
      <c r="B574" s="2" t="s">
        <v>433</v>
      </c>
      <c r="H574" s="5">
        <f>ROUND(('COEFICIENTES A ALTERAR'!E33*(1.5^(O574-1))*(1+('COEFICIENTES A ALTERAR'!E36*0.05))*('SIMULADOR - DADOS'!F22*'SIMULADOR - DADOS'!F24*'SIMULADOR - DADOS'!F25*'SIMULADOR - DADOS'!F26*'SIMULADOR - DADOS'!F27*'SIMULADOR - DADOS'!I24)),-1)</f>
        <v>0</v>
      </c>
      <c r="J574" s="126">
        <f>H560*'COEFICIENTES A ALTERAR'!E39</f>
        <v>0</v>
      </c>
      <c r="K574" s="127"/>
      <c r="N574" s="68" t="s">
        <v>444</v>
      </c>
      <c r="O574" s="55">
        <f>IF(J574&lt;'COEFICIENTES A ALTERAR'!E40,1,IF('SIMULADOR - CUSTO PROJETOS'!J574&lt;'COEFICIENTES A ALTERAR'!E41,2,IF('SIMULADOR - CUSTO PROJETOS'!J574&lt;'COEFICIENTES A ALTERAR'!E42,3,IF('SIMULADOR - CUSTO PROJETOS'!J574&lt;'COEFICIENTES A ALTERAR'!E43,4,IF('SIMULADOR - CUSTO PROJETOS'!J574&lt;'COEFICIENTES A ALTERAR'!E44,5,IF('SIMULADOR - CUSTO PROJETOS'!J574&lt;'COEFICIENTES A ALTERAR'!E45,6,IF('SIMULADOR - CUSTO PROJETOS'!J574&lt;'COEFICIENTES A ALTERAR'!E46,7,IF('SIMULADOR - CUSTO PROJETOS'!J574&lt;'COEFICIENTES A ALTERAR'!E47,8,9))))))))</f>
        <v>1</v>
      </c>
    </row>
    <row r="575" spans="2:15" hidden="1" x14ac:dyDescent="0.2"/>
    <row r="576" spans="2:15" hidden="1" x14ac:dyDescent="0.2"/>
    <row r="577" spans="2:15" hidden="1" x14ac:dyDescent="0.2"/>
    <row r="578" spans="2:15" ht="15" hidden="1" x14ac:dyDescent="0.2">
      <c r="B578" s="2" t="s">
        <v>476</v>
      </c>
      <c r="H578" s="55">
        <f>(0.75*'SIMULADOR - DADOS'!E15*(0.95^('SIMULADOR - DADOS'!E15/250)))+(2*'SIMULADOR - DADOS'!E16)</f>
        <v>0</v>
      </c>
      <c r="I578" s="2" t="s">
        <v>446</v>
      </c>
      <c r="K578" s="32"/>
      <c r="L578" s="32"/>
    </row>
    <row r="579" spans="2:15" ht="15" hidden="1" x14ac:dyDescent="0.2">
      <c r="B579" s="2" t="s">
        <v>451</v>
      </c>
      <c r="H579" s="55">
        <f>(H578*2)+(('SIMULADOR - DADOS'!E18-'SIMULADOR - CUSTO PROJETOS'!H578)*0.2)</f>
        <v>0</v>
      </c>
      <c r="I579" s="2" t="s">
        <v>446</v>
      </c>
      <c r="K579" s="32"/>
      <c r="L579" s="32"/>
    </row>
    <row r="580" spans="2:15" s="2" customFormat="1" ht="15" hidden="1" x14ac:dyDescent="0.2">
      <c r="B580" s="2" t="s">
        <v>378</v>
      </c>
      <c r="H580" s="5">
        <f>IF((ROUND((H579*'COEFICIENTES A ALTERAR'!E7*0.1*('SIMULADOR - DADOS'!F22*'SIMULADOR - DADOS'!F24*'SIMULADOR - DADOS'!F25*'SIMULADOR - DADOS'!F26*'SIMULADOR - DADOS'!F27*'SIMULADOR - DADOS'!I24)),-1))&lt;ROUND(('COEFICIENTES A ALTERAR'!E29),-1),ROUND(('COEFICIENTES A ALTERAR'!E29),-1),ROUND((H579*'COEFICIENTES A ALTERAR'!E7*0.1*('SIMULADOR - DADOS'!F22*'SIMULADOR - DADOS'!F24*'SIMULADOR - DADOS'!F25*'SIMULADOR - DADOS'!F26*'SIMULADOR - DADOS'!F27*'SIMULADOR - DADOS'!I24)),-1))</f>
        <v>220</v>
      </c>
      <c r="K580" s="5"/>
      <c r="N580" s="68"/>
    </row>
    <row r="581" spans="2:15" s="2" customFormat="1" ht="15" hidden="1" x14ac:dyDescent="0.2">
      <c r="B581" s="2" t="s">
        <v>395</v>
      </c>
      <c r="H581" s="5">
        <f>IF((ROUND((H578*'COEFICIENTES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ALTERAR'!E7*(1+('COEFICIENTES A ALTERAR'!E36*0.05))*('SIMULADOR - DADOS'!F22*'SIMULADOR - DADOS'!F24*'SIMULADOR - DADOS'!F25*'SIMULADOR - DADOS'!F26*'SIMULADOR - DADOS'!F27*'SIMULADOR - DADOS'!I24)),-1))</f>
        <v>220</v>
      </c>
      <c r="K581" s="5">
        <f>IF((ROUND((H578*'COEFICIENTES A ALTERAR'!E7*('SIMULADOR - DADOS'!F22*'SIMULADOR - DADOS'!F24*'SIMULADOR - DADOS'!F25*'SIMULADOR - DADOS'!F26*'SIMULADOR - DADOS'!F27*'SIMULADOR - DADOS'!I24)),-1))&lt;ROUND(('COEFICIENTES A ALTERAR'!E29),-1),ROUND(('COEFICIENTES A ALTERAR'!E29),-1),ROUND((H578*'COEFICIENTES A ALTERAR'!E7*('SIMULADOR - DADOS'!F22*'SIMULADOR - DADOS'!F24*'SIMULADOR - DADOS'!F25*'SIMULADOR - DADOS'!F26*'SIMULADOR - DADOS'!F27*'SIMULADOR - DADOS'!I24)),-1))</f>
        <v>220</v>
      </c>
      <c r="N581" s="68">
        <f t="shared" ref="N581:N585" si="29">ROUND(((K581/H581)-1),1)</f>
        <v>0</v>
      </c>
    </row>
    <row r="582" spans="2:15" s="2" customFormat="1" ht="15" hidden="1" x14ac:dyDescent="0.2">
      <c r="B582" s="2" t="s">
        <v>426</v>
      </c>
      <c r="H582" s="5">
        <f>IF((ROUND((H578*'COEFICIENTES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ALTERAR'!E11*(1+('COEFICIENTES A ALTERAR'!E36*0.05))*('SIMULADOR - DADOS'!F22*'SIMULADOR - DADOS'!F24*'SIMULADOR - DADOS'!F25*'SIMULADOR - DADOS'!F26*'SIMULADOR - DADOS'!F27*'SIMULADOR - DADOS'!I24)),-1))</f>
        <v>220</v>
      </c>
      <c r="K582" s="5">
        <f>IF((ROUND((H578*'COEFICIENTES A ALTERAR'!E11*('SIMULADOR - DADOS'!F22*'SIMULADOR - DADOS'!F24*'SIMULADOR - DADOS'!F25*'SIMULADOR - DADOS'!F26*'SIMULADOR - DADOS'!F27*'SIMULADOR - DADOS'!I24)),-1))&lt;ROUND(('COEFICIENTES A ALTERAR'!E29),-1),ROUND(('COEFICIENTES A ALTERAR'!E29),-1),ROUND((H578*'COEFICIENTES A ALTERAR'!E11*('SIMULADOR - DADOS'!F22*'SIMULADOR - DADOS'!F24*'SIMULADOR - DADOS'!F25*'SIMULADOR - DADOS'!F26*'SIMULADOR - DADOS'!F27*'SIMULADOR - DADOS'!I24)),-1))</f>
        <v>220</v>
      </c>
      <c r="N582" s="68">
        <f t="shared" si="29"/>
        <v>0</v>
      </c>
      <c r="O582" s="68"/>
    </row>
    <row r="583" spans="2:15" s="2" customFormat="1" ht="15" hidden="1" x14ac:dyDescent="0.2">
      <c r="B583" s="2" t="s">
        <v>405</v>
      </c>
      <c r="H583" s="5">
        <f>IF((ROUND((H578*'COEFICIENTES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ALTERAR'!E13*(1+('COEFICIENTES A ALTERAR'!E36*0.05))*('SIMULADOR - DADOS'!F22*'SIMULADOR - DADOS'!F24*'SIMULADOR - DADOS'!F25*'SIMULADOR - DADOS'!F26*'SIMULADOR - DADOS'!F27*'SIMULADOR - DADOS'!I24)),-1))</f>
        <v>220</v>
      </c>
      <c r="K583" s="5">
        <f>IF((ROUND((H578*'COEFICIENTES A ALTERAR'!E13*('SIMULADOR - DADOS'!F22*'SIMULADOR - DADOS'!F24*'SIMULADOR - DADOS'!F25*'SIMULADOR - DADOS'!F26*'SIMULADOR - DADOS'!F27*'SIMULADOR - DADOS'!I24)),-1))&lt;ROUND(('COEFICIENTES A ALTERAR'!E29),-1),ROUND(('COEFICIENTES A ALTERAR'!E29),-1),ROUND((H578*'COEFICIENTES A ALTERAR'!E13*('SIMULADOR - DADOS'!F22*'SIMULADOR - DADOS'!F24*'SIMULADOR - DADOS'!F25*'SIMULADOR - DADOS'!F26*'SIMULADOR - DADOS'!F27*'SIMULADOR - DADOS'!I24)),-1))</f>
        <v>220</v>
      </c>
      <c r="N583" s="68">
        <f t="shared" si="29"/>
        <v>0</v>
      </c>
      <c r="O583" s="68">
        <f t="shared" ref="O583:O585" si="30">IF(N583&gt;N582,N583,N582)</f>
        <v>0</v>
      </c>
    </row>
    <row r="584" spans="2:15" s="2" customFormat="1" ht="15" hidden="1" x14ac:dyDescent="0.2">
      <c r="B584" s="2" t="s">
        <v>406</v>
      </c>
      <c r="H584" s="5">
        <f>IF((ROUND((H578*'COEFICIENTES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ALTERAR'!E15*(1+('COEFICIENTES A ALTERAR'!E36*0.05))*('SIMULADOR - DADOS'!F22*'SIMULADOR - DADOS'!F24*'SIMULADOR - DADOS'!F25*'SIMULADOR - DADOS'!F26*'SIMULADOR - DADOS'!F27*'SIMULADOR - DADOS'!I24)),-1))</f>
        <v>220</v>
      </c>
      <c r="K584" s="5">
        <f>IF((ROUND((H578*'COEFICIENTES A ALTERAR'!E15*('SIMULADOR - DADOS'!F22*'SIMULADOR - DADOS'!F24*'SIMULADOR - DADOS'!F25*'SIMULADOR - DADOS'!F26*'SIMULADOR - DADOS'!F27*'SIMULADOR - DADOS'!I24)),-1))&lt;ROUND(('COEFICIENTES A ALTERAR'!E29),-1),ROUND(('COEFICIENTES A ALTERAR'!E29),-1),ROUND((H578*'COEFICIENTES A ALTERAR'!E15*('SIMULADOR - DADOS'!F22*'SIMULADOR - DADOS'!F24*'SIMULADOR - DADOS'!F25*'SIMULADOR - DADOS'!F26*'SIMULADOR - DADOS'!F27*'SIMULADOR - DADOS'!I24)),-1))</f>
        <v>220</v>
      </c>
      <c r="N584" s="68">
        <f t="shared" si="29"/>
        <v>0</v>
      </c>
      <c r="O584" s="68">
        <f t="shared" si="30"/>
        <v>0</v>
      </c>
    </row>
    <row r="585" spans="2:15" s="2" customFormat="1" ht="15" hidden="1" x14ac:dyDescent="0.2">
      <c r="B585" s="2" t="s">
        <v>407</v>
      </c>
      <c r="H585" s="5">
        <f>IF((ROUND((H578*'COEFICIENTES A ALTERAR'!E17*(1+('COEFICIENTES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ALTERAR'!E17*(1+('COEFICIENTES A ALTERAR'!E36*0.05))*('SIMULADOR - DADOS'!F22*'SIMULADOR - DADOS'!F24*'SIMULADOR - DADOS'!F25*'SIMULADOR - DADOS'!F26*'SIMULADOR - DADOS'!F27*'SIMULADOR - DADOS'!I24)),-1))</f>
        <v>220</v>
      </c>
      <c r="K585" s="5">
        <f>IF((ROUND((H578*'COEFICIENTES A ALTERAR'!E17*('SIMULADOR - DADOS'!F22*'SIMULADOR - DADOS'!F24*'SIMULADOR - DADOS'!F25*'SIMULADOR - DADOS'!F26*'SIMULADOR - DADOS'!F27*'SIMULADOR - DADOS'!I24)),-1))&lt;ROUND(('COEFICIENTES A ALTERAR'!E29),-1),ROUND(('COEFICIENTES A ALTERAR'!E29),-1),ROUND((H578*'COEFICIENTES A ALTERAR'!E17*('SIMULADOR - DADOS'!F22*'SIMULADOR - DADOS'!F24*'SIMULADOR - DADOS'!F25*'SIMULADOR - DADOS'!F26*'SIMULADOR - DADOS'!F27*'SIMULADOR - DADOS'!I24)),-1))</f>
        <v>220</v>
      </c>
      <c r="N585" s="68">
        <f t="shared" si="29"/>
        <v>0</v>
      </c>
      <c r="O585" s="68">
        <f t="shared" si="30"/>
        <v>0</v>
      </c>
    </row>
    <row r="586" spans="2:15" s="2" customFormat="1" ht="15" hidden="1" x14ac:dyDescent="0.2">
      <c r="B586" s="2" t="s">
        <v>408</v>
      </c>
      <c r="H586" s="5"/>
      <c r="K586" s="5"/>
      <c r="N586" s="68"/>
      <c r="O586" s="68"/>
    </row>
    <row r="587" spans="2:15" s="2" customFormat="1" ht="15" hidden="1" x14ac:dyDescent="0.2">
      <c r="B587" s="2" t="s">
        <v>409</v>
      </c>
      <c r="H587" s="5">
        <f>IF((ROUND((H578*'COEFICIENTES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ALTERAR'!E21*(1+('COEFICIENTES A ALTERAR'!E36*0.05))*('SIMULADOR - DADOS'!F22*'SIMULADOR - DADOS'!F24*'SIMULADOR - DADOS'!F25*'SIMULADOR - DADOS'!F26*'SIMULADOR - DADOS'!F27*'SIMULADOR - DADOS'!I24)),-1))</f>
        <v>220</v>
      </c>
      <c r="K587" s="5">
        <f>IF((ROUND((H578*'COEFICIENTES A ALTERAR'!E21*('SIMULADOR - DADOS'!F22*'SIMULADOR - DADOS'!F24*'SIMULADOR - DADOS'!F25*'SIMULADOR - DADOS'!F26*'SIMULADOR - DADOS'!F27*'SIMULADOR - DADOS'!I24)),-1))&lt;ROUND(('COEFICIENTES A ALTERAR'!E29),-1),ROUND(('COEFICIENTES A ALTERAR'!E29),-1),ROUND((H578*'COEFICIENTES A ALTERAR'!E21*('SIMULADOR - DADOS'!F22*'SIMULADOR - DADOS'!F24*'SIMULADOR - DADOS'!F25*'SIMULADOR - DADOS'!F26*'SIMULADOR - DADOS'!F27*'SIMULADOR - DADOS'!I24)),-1))</f>
        <v>220</v>
      </c>
      <c r="N587" s="68">
        <f t="shared" ref="N587:N589" si="31">ROUND(((K587/H587)-1),1)</f>
        <v>0</v>
      </c>
      <c r="O587" s="68">
        <f>IF(N587&gt;N585,N587,N585)</f>
        <v>0</v>
      </c>
    </row>
    <row r="588" spans="2:15" s="2" customFormat="1" ht="15" hidden="1" x14ac:dyDescent="0.2">
      <c r="B588" s="2" t="s">
        <v>410</v>
      </c>
      <c r="H588" s="5">
        <f>IF((ROUND((H578*'COEFICIENTES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ALTERAR'!E29),-1),ROUND((H578*'COEFICIENTES A ALTERAR'!E23*(1+('COEFICIENTES A ALTERAR'!E36*0.05))*('SIMULADOR - DADOS'!F22*'SIMULADOR - DADOS'!F24*'SIMULADOR - DADOS'!F25*'SIMULADOR - DADOS'!F26*'SIMULADOR - DADOS'!F27*'SIMULADOR - DADOS'!I24)),-1))</f>
        <v>220</v>
      </c>
      <c r="K588" s="5">
        <f>IF((ROUND((H578*'COEFICIENTES A ALTERAR'!E23*('SIMULADOR - DADOS'!F22*'SIMULADOR - DADOS'!F24*'SIMULADOR - DADOS'!F25*'SIMULADOR - DADOS'!F26*'SIMULADOR - DADOS'!F27*'SIMULADOR - DADOS'!I24)),-1))&lt;ROUND(('COEFICIENTES A ALTERAR'!E29),-1),ROUND(('COEFICIENTES A ALTERAR'!E29),-1),ROUND((H578*'COEFICIENTES A ALTERAR'!E23*('SIMULADOR - DADOS'!F22*'SIMULADOR - DADOS'!F24*'SIMULADOR - DADOS'!F25*'SIMULADOR - DADOS'!F26*'SIMULADOR - DADOS'!F27*'SIMULADOR - DADOS'!I24)),-1))</f>
        <v>220</v>
      </c>
      <c r="N588" s="68">
        <f t="shared" si="31"/>
        <v>0</v>
      </c>
      <c r="O588" s="68">
        <f t="shared" ref="O588:O589" si="32">IF(N588&gt;N587,N588,N587)</f>
        <v>0</v>
      </c>
    </row>
    <row r="589" spans="2:15" s="2" customFormat="1" ht="15" hidden="1" x14ac:dyDescent="0.2">
      <c r="B589" s="2" t="s">
        <v>411</v>
      </c>
      <c r="H589" s="5">
        <f>ROUND(('COEFICIENTES A ALTERAR'!E27*(1.5^(O592-1))*(1+('COEFICIENTES A ALTERAR'!E36*0.05))*('SIMULADOR - DADOS'!F22*'SIMULADOR - DADOS'!F24*'SIMULADOR - DADOS'!F25*'SIMULADOR - DADOS'!F26*'SIMULADOR - DADOS'!F27*'SIMULADOR - DADOS'!I24)),-1)</f>
        <v>0</v>
      </c>
      <c r="K589" s="5">
        <f>ROUND(('COEFICIENTES A ALTERAR'!E27*(1.5^(O592-1))*('SIMULADOR - DADOS'!F22*'SIMULADOR - DADOS'!F24*'SIMULADOR - DADOS'!F25*'SIMULADOR - DADOS'!F26*'SIMULADOR - DADOS'!F27*'SIMULADOR - DADOS'!I24)),-1)</f>
        <v>0</v>
      </c>
      <c r="N589" s="68" t="e">
        <f t="shared" si="31"/>
        <v>#DIV/0!</v>
      </c>
      <c r="O589" s="68" t="e">
        <f t="shared" si="32"/>
        <v>#DIV/0!</v>
      </c>
    </row>
    <row r="590" spans="2:15" s="2" customFormat="1" ht="15" hidden="1" x14ac:dyDescent="0.2">
      <c r="B590" s="2" t="s">
        <v>431</v>
      </c>
      <c r="H590" s="5">
        <f>ROUND(('COEFICIENTES A ALTERAR'!E31*(1.5^(O592-1))*(1+('COEFICIENTES A ALTERAR'!E36*0.05))*('SIMULADOR - DADOS'!F22*'SIMULADOR - DADOS'!F24*'SIMULADOR - DADOS'!F25*'SIMULADOR - DADOS'!F26*'SIMULADOR - DADOS'!F27*'SIMULADOR - DADOS'!I24)),-1)</f>
        <v>0</v>
      </c>
      <c r="K590" s="5"/>
      <c r="N590" s="68"/>
      <c r="O590" s="68"/>
    </row>
    <row r="591" spans="2:15" s="2" customFormat="1" ht="15" hidden="1" x14ac:dyDescent="0.2">
      <c r="B591" s="2" t="s">
        <v>432</v>
      </c>
      <c r="H591" s="5">
        <f>IF(H590/2&lt;'COEFICIENTES A ALTERAR'!E31,ROUND(('COEFICIENTES A ALTERAR'!E31),-1),H590/2)</f>
        <v>100</v>
      </c>
      <c r="K591" s="5"/>
      <c r="N591" s="68"/>
      <c r="O591" s="68"/>
    </row>
    <row r="592" spans="2:15" s="2" customFormat="1" ht="15" hidden="1" x14ac:dyDescent="0.2">
      <c r="B592" s="2" t="s">
        <v>433</v>
      </c>
      <c r="H592" s="5">
        <f>ROUND(('COEFICIENTES A ALTERAR'!E33*(1.5^(O592-1))*(1+('COEFICIENTES A ALTERAR'!E36*0.05))*('SIMULADOR - DADOS'!F22*'SIMULADOR - DADOS'!F24*'SIMULADOR - DADOS'!F25*'SIMULADOR - DADOS'!F26*'SIMULADOR - DADOS'!F27*'SIMULADOR - DADOS'!I24)),-1)</f>
        <v>0</v>
      </c>
      <c r="J592" s="126">
        <f>H578*'COEFICIENTES A ALTERAR'!E39</f>
        <v>0</v>
      </c>
      <c r="K592" s="127"/>
      <c r="N592" s="68" t="s">
        <v>444</v>
      </c>
      <c r="O592" s="55">
        <f>IF(J592&lt;'COEFICIENTES A ALTERAR'!E40,1,IF('SIMULADOR - CUSTO PROJETOS'!J592&lt;'COEFICIENTES A ALTERAR'!E41,2,IF('SIMULADOR - CUSTO PROJETOS'!J592&lt;'COEFICIENTES A ALTERAR'!E42,3,IF('SIMULADOR - CUSTO PROJETOS'!J592&lt;'COEFICIENTES A ALTERAR'!E43,4,IF('SIMULADOR - CUSTO PROJETOS'!J592&lt;'COEFICIENTES A ALTERAR'!E44,5,IF('SIMULADOR - CUSTO PROJETOS'!J592&lt;'COEFICIENTES A ALTERAR'!E45,6,IF('SIMULADOR - CUSTO PROJETOS'!J592&lt;'COEFICIENTES A ALTERAR'!E46,7,IF('SIMULADOR - CUSTO PROJETOS'!J592&lt;'COEFICIENTES A ALTERAR'!E47,8,9))))))))</f>
        <v>1</v>
      </c>
    </row>
    <row r="593" spans="2:15" hidden="1" x14ac:dyDescent="0.2"/>
    <row r="594" spans="2:15" hidden="1" x14ac:dyDescent="0.2"/>
    <row r="595" spans="2:15" hidden="1" x14ac:dyDescent="0.2"/>
    <row r="596" spans="2:15" ht="15" hidden="1" x14ac:dyDescent="0.2">
      <c r="B596" s="2" t="s">
        <v>477</v>
      </c>
      <c r="H596" s="55">
        <f>(0.75*'SIMULADOR - DADOS'!E15*(0.95^('SIMULADOR - DADOS'!E15/250)))</f>
        <v>0</v>
      </c>
      <c r="I596" s="2" t="s">
        <v>446</v>
      </c>
      <c r="K596" s="32"/>
      <c r="L596" s="32"/>
    </row>
    <row r="597" spans="2:15" ht="15" hidden="1" x14ac:dyDescent="0.2">
      <c r="B597" s="2" t="s">
        <v>451</v>
      </c>
      <c r="H597" s="55">
        <f>(H596*2)+(('SIMULADOR - DADOS'!E18-'SIMULADOR - CUSTO PROJETOS'!H596)*0.2)</f>
        <v>0</v>
      </c>
      <c r="I597" s="2" t="s">
        <v>446</v>
      </c>
      <c r="K597" s="32"/>
      <c r="L597" s="32"/>
    </row>
    <row r="598" spans="2:15" s="2" customFormat="1" ht="15" hidden="1" x14ac:dyDescent="0.2">
      <c r="B598" s="2" t="s">
        <v>378</v>
      </c>
      <c r="H598" s="5">
        <f>IF((ROUND((H597*'COEFICIENTES A ALTERAR'!E7*0.1*('SIMULADOR - DADOS'!F22*'SIMULADOR - DADOS'!F24*'SIMULADOR - DADOS'!F25*'SIMULADOR - DADOS'!F26*'SIMULADOR - DADOS'!F27*'SIMULADOR - DADOS'!I24)),-1))&lt;ROUND(('COEFICIENTES A ALTERAR'!E29),-1),ROUND(('COEFICIENTES A ALTERAR'!E29),-1),ROUND((H597*'COEFICIENTES A ALTERAR'!E7*0.1*('SIMULADOR - DADOS'!F22*'SIMULADOR - DADOS'!F24*'SIMULADOR - DADOS'!F25*'SIMULADOR - DADOS'!F26*'SIMULADOR - DADOS'!F27*'SIMULADOR - DADOS'!I24)),-1))</f>
        <v>220</v>
      </c>
      <c r="K598" s="5"/>
      <c r="N598" s="68"/>
    </row>
    <row r="599" spans="2:15" s="2" customFormat="1" ht="15" hidden="1" x14ac:dyDescent="0.2">
      <c r="B599" s="2" t="s">
        <v>395</v>
      </c>
      <c r="H599" s="5">
        <f>IF((ROUND((H596*'COEFICIENTES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ALTERAR'!E7*(1+('COEFICIENTES A ALTERAR'!E36*0.05))*('SIMULADOR - DADOS'!F22*'SIMULADOR - DADOS'!F24*'SIMULADOR - DADOS'!F25*'SIMULADOR - DADOS'!F26*'SIMULADOR - DADOS'!F27*'SIMULADOR - DADOS'!I24)),-1))</f>
        <v>220</v>
      </c>
      <c r="K599" s="5">
        <f>IF((ROUND((H596*'COEFICIENTES A ALTERAR'!E7*('SIMULADOR - DADOS'!F22*'SIMULADOR - DADOS'!F24*'SIMULADOR - DADOS'!F25*'SIMULADOR - DADOS'!F26*'SIMULADOR - DADOS'!F27*'SIMULADOR - DADOS'!I24)),-1))&lt;ROUND(('COEFICIENTES A ALTERAR'!E29),-1),ROUND(('COEFICIENTES A ALTERAR'!E29),-1),ROUND((H596*'COEFICIENTES A ALTERAR'!E7*('SIMULADOR - DADOS'!F22*'SIMULADOR - DADOS'!F24*'SIMULADOR - DADOS'!F25*'SIMULADOR - DADOS'!F26*'SIMULADOR - DADOS'!F27*'SIMULADOR - DADOS'!I24)),-1))</f>
        <v>220</v>
      </c>
      <c r="N599" s="68">
        <f t="shared" ref="N599:N602" si="33">ROUND(((K599/H599)-1),1)</f>
        <v>0</v>
      </c>
    </row>
    <row r="600" spans="2:15" s="2" customFormat="1" ht="15" hidden="1" x14ac:dyDescent="0.2">
      <c r="B600" s="2" t="s">
        <v>426</v>
      </c>
      <c r="H600" s="5">
        <f>IF((ROUND((H596*'COEFICIENTES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ALTERAR'!E11*(1+('COEFICIENTES A ALTERAR'!E36*0.05))*('SIMULADOR - DADOS'!F22*'SIMULADOR - DADOS'!F24*'SIMULADOR - DADOS'!F25*'SIMULADOR - DADOS'!F26*'SIMULADOR - DADOS'!F27*'SIMULADOR - DADOS'!I24)),-1))</f>
        <v>220</v>
      </c>
      <c r="K600" s="5">
        <f>IF((ROUND((H596*'COEFICIENTES A ALTERAR'!E11*('SIMULADOR - DADOS'!F22*'SIMULADOR - DADOS'!F24*'SIMULADOR - DADOS'!F25*'SIMULADOR - DADOS'!F26*'SIMULADOR - DADOS'!F27*'SIMULADOR - DADOS'!I24)),-1))&lt;ROUND(('COEFICIENTES A ALTERAR'!E29),-1),ROUND(('COEFICIENTES A ALTERAR'!E29),-1),ROUND((H596*'COEFICIENTES A ALTERAR'!E11*('SIMULADOR - DADOS'!F22*'SIMULADOR - DADOS'!F24*'SIMULADOR - DADOS'!F25*'SIMULADOR - DADOS'!F26*'SIMULADOR - DADOS'!F27*'SIMULADOR - DADOS'!I24)),-1))</f>
        <v>220</v>
      </c>
      <c r="N600" s="68">
        <f t="shared" si="33"/>
        <v>0</v>
      </c>
      <c r="O600" s="68"/>
    </row>
    <row r="601" spans="2:15" s="2" customFormat="1" ht="15" hidden="1" x14ac:dyDescent="0.2">
      <c r="B601" s="2" t="s">
        <v>405</v>
      </c>
      <c r="H601" s="5">
        <f>IF((ROUND((H596*'COEFICIENTES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ALTERAR'!E13*(1+('COEFICIENTES A ALTERAR'!E36*0.05))*('SIMULADOR - DADOS'!F22*'SIMULADOR - DADOS'!F24*'SIMULADOR - DADOS'!F25*'SIMULADOR - DADOS'!F26*'SIMULADOR - DADOS'!F27*'SIMULADOR - DADOS'!I24)),-1))</f>
        <v>220</v>
      </c>
      <c r="K601" s="5">
        <f>IF((ROUND((H596*'COEFICIENTES A ALTERAR'!E13*('SIMULADOR - DADOS'!F22*'SIMULADOR - DADOS'!F24*'SIMULADOR - DADOS'!F25*'SIMULADOR - DADOS'!F26*'SIMULADOR - DADOS'!F27*'SIMULADOR - DADOS'!I24)),-1))&lt;ROUND(('COEFICIENTES A ALTERAR'!E29),-1),ROUND(('COEFICIENTES A ALTERAR'!E29),-1),ROUND((H596*'COEFICIENTES A ALTERAR'!E13*('SIMULADOR - DADOS'!F22*'SIMULADOR - DADOS'!F24*'SIMULADOR - DADOS'!F25*'SIMULADOR - DADOS'!F26*'SIMULADOR - DADOS'!F27*'SIMULADOR - DADOS'!I24)),-1))</f>
        <v>220</v>
      </c>
      <c r="N601" s="68">
        <f t="shared" si="33"/>
        <v>0</v>
      </c>
      <c r="O601" s="68">
        <f t="shared" ref="O601:O602" si="34">IF(N601&gt;N600,N601,N600)</f>
        <v>0</v>
      </c>
    </row>
    <row r="602" spans="2:15" s="2" customFormat="1" ht="15" hidden="1" x14ac:dyDescent="0.2">
      <c r="B602" s="2" t="s">
        <v>406</v>
      </c>
      <c r="H602" s="5">
        <f>IF((ROUND((H596*'COEFICIENTES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ALTERAR'!E15*(1+('COEFICIENTES A ALTERAR'!E36*0.05))*('SIMULADOR - DADOS'!F22*'SIMULADOR - DADOS'!F24*'SIMULADOR - DADOS'!F25*'SIMULADOR - DADOS'!F26*'SIMULADOR - DADOS'!F27*'SIMULADOR - DADOS'!I24)),-1))</f>
        <v>220</v>
      </c>
      <c r="K602" s="5">
        <f>IF((ROUND((H596*'COEFICIENTES A ALTERAR'!E15*('SIMULADOR - DADOS'!F22*'SIMULADOR - DADOS'!F24*'SIMULADOR - DADOS'!F25*'SIMULADOR - DADOS'!F26*'SIMULADOR - DADOS'!F27*'SIMULADOR - DADOS'!I24)),-1))&lt;ROUND(('COEFICIENTES A ALTERAR'!E29),-1),ROUND(('COEFICIENTES A ALTERAR'!E29),-1),ROUND((H596*'COEFICIENTES A ALTERAR'!E15*('SIMULADOR - DADOS'!F22*'SIMULADOR - DADOS'!F24*'SIMULADOR - DADOS'!F25*'SIMULADOR - DADOS'!F26*'SIMULADOR - DADOS'!F27*'SIMULADOR - DADOS'!I24)),-1))</f>
        <v>220</v>
      </c>
      <c r="N602" s="68">
        <f t="shared" si="33"/>
        <v>0</v>
      </c>
      <c r="O602" s="68">
        <f t="shared" si="34"/>
        <v>0</v>
      </c>
    </row>
    <row r="603" spans="2:15" s="2" customFormat="1" ht="15" hidden="1" x14ac:dyDescent="0.2">
      <c r="B603" s="2" t="s">
        <v>407</v>
      </c>
      <c r="H603" s="5"/>
      <c r="K603" s="5"/>
      <c r="N603" s="68"/>
      <c r="O603" s="68"/>
    </row>
    <row r="604" spans="2:15" s="2" customFormat="1" ht="15" hidden="1" x14ac:dyDescent="0.2">
      <c r="B604" s="2" t="s">
        <v>408</v>
      </c>
      <c r="H604" s="5"/>
      <c r="K604" s="5"/>
      <c r="N604" s="68"/>
      <c r="O604" s="68"/>
    </row>
    <row r="605" spans="2:15" s="2" customFormat="1" ht="15" hidden="1" x14ac:dyDescent="0.2">
      <c r="B605" s="2" t="s">
        <v>409</v>
      </c>
      <c r="H605" s="5">
        <f>IF((ROUND((H596*'COEFICIENTES A ALTERAR'!E21*(1+('COEFICIENTES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ALTERAR'!E21*(1+('COEFICIENTES A ALTERAR'!E36*0.05))*('SIMULADOR - DADOS'!F22*'SIMULADOR - DADOS'!F24*'SIMULADOR - DADOS'!F25*'SIMULADOR - DADOS'!F26*'SIMULADOR - DADOS'!F27*'SIMULADOR - DADOS'!I24)),-1))</f>
        <v>220</v>
      </c>
      <c r="K605" s="5">
        <f>IF((ROUND((H596*'COEFICIENTES A ALTERAR'!E21*('SIMULADOR - DADOS'!F22*'SIMULADOR - DADOS'!F24*'SIMULADOR - DADOS'!F25*'SIMULADOR - DADOS'!F26*'SIMULADOR - DADOS'!F27*'SIMULADOR - DADOS'!I24)),-1))&lt;ROUND(('COEFICIENTES A ALTERAR'!E29),-1),ROUND(('COEFICIENTES A ALTERAR'!E29),-1),ROUND((H596*'COEFICIENTES A ALTERAR'!E21*('SIMULADOR - DADOS'!F22*'SIMULADOR - DADOS'!F24*'SIMULADOR - DADOS'!F25*'SIMULADOR - DADOS'!F26*'SIMULADOR - DADOS'!F27*'SIMULADOR - DADOS'!I24)),-1))</f>
        <v>220</v>
      </c>
      <c r="N605" s="68">
        <f t="shared" ref="N605:N606" si="35">ROUND(((K605/H605)-1),1)</f>
        <v>0</v>
      </c>
      <c r="O605" s="68">
        <f>IF(N605&gt;N602,N605,N602)</f>
        <v>0</v>
      </c>
    </row>
    <row r="606" spans="2:15" s="2" customFormat="1" ht="15" hidden="1" x14ac:dyDescent="0.2">
      <c r="B606" s="2" t="s">
        <v>410</v>
      </c>
      <c r="H606" s="5">
        <f>IF((ROUND((H596*'COEFICIENTES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ALTERAR'!E29),-1),ROUND((H596*'COEFICIENTES A ALTERAR'!E23*(1+('COEFICIENTES A ALTERAR'!E36*0.05))*('SIMULADOR - DADOS'!F22*'SIMULADOR - DADOS'!F24*'SIMULADOR - DADOS'!F25*'SIMULADOR - DADOS'!F26*'SIMULADOR - DADOS'!F27*'SIMULADOR - DADOS'!I24)),-1))</f>
        <v>220</v>
      </c>
      <c r="K606" s="5">
        <f>IF((ROUND((H596*'COEFICIENTES A ALTERAR'!E23*('SIMULADOR - DADOS'!F22*'SIMULADOR - DADOS'!F24*'SIMULADOR - DADOS'!F25*'SIMULADOR - DADOS'!F26*'SIMULADOR - DADOS'!F27*'SIMULADOR - DADOS'!I24)),-1))&lt;ROUND(('COEFICIENTES A ALTERAR'!E29),-1),ROUND(('COEFICIENTES A ALTERAR'!E29),-1),ROUND((H596*'COEFICIENTES A ALTERAR'!E23*('SIMULADOR - DADOS'!F22*'SIMULADOR - DADOS'!F24*'SIMULADOR - DADOS'!F25*'SIMULADOR - DADOS'!F26*'SIMULADOR - DADOS'!F27*'SIMULADOR - DADOS'!I24)),-1))</f>
        <v>220</v>
      </c>
      <c r="N606" s="68">
        <f t="shared" si="35"/>
        <v>0</v>
      </c>
      <c r="O606" s="68">
        <f t="shared" ref="O606" si="36">IF(N606&gt;N605,N606,N605)</f>
        <v>0</v>
      </c>
    </row>
    <row r="607" spans="2:15" s="2" customFormat="1" ht="15" hidden="1" x14ac:dyDescent="0.2">
      <c r="B607" s="2" t="s">
        <v>411</v>
      </c>
      <c r="H607" s="5"/>
      <c r="K607" s="5"/>
      <c r="N607" s="68"/>
      <c r="O607" s="68"/>
    </row>
    <row r="608" spans="2:15" s="2" customFormat="1" ht="15" hidden="1" x14ac:dyDescent="0.2">
      <c r="B608" s="2" t="s">
        <v>431</v>
      </c>
      <c r="H608" s="5"/>
      <c r="K608" s="5"/>
      <c r="N608" s="68"/>
      <c r="O608" s="68"/>
    </row>
    <row r="609" spans="2:15" s="2" customFormat="1" ht="15" hidden="1" x14ac:dyDescent="0.2">
      <c r="B609" s="2" t="s">
        <v>432</v>
      </c>
      <c r="H609" s="5"/>
      <c r="K609" s="5"/>
      <c r="N609" s="68"/>
      <c r="O609" s="68"/>
    </row>
    <row r="610" spans="2:15" s="2" customFormat="1" ht="15" hidden="1" x14ac:dyDescent="0.2">
      <c r="B610" s="2" t="s">
        <v>433</v>
      </c>
      <c r="H610" s="5"/>
      <c r="J610" s="126"/>
      <c r="K610" s="127"/>
      <c r="N610" s="68"/>
      <c r="O610" s="55"/>
    </row>
    <row r="611" spans="2:15" hidden="1" x14ac:dyDescent="0.2"/>
    <row r="612" spans="2:15" hidden="1" x14ac:dyDescent="0.2"/>
    <row r="613" spans="2:15" hidden="1" x14ac:dyDescent="0.2"/>
    <row r="614" spans="2:15" ht="15" hidden="1" x14ac:dyDescent="0.2">
      <c r="B614" s="2" t="s">
        <v>478</v>
      </c>
      <c r="H614" s="55">
        <f>(1.5*'SIMULADOR - DADOS'!E15*(0.95^('SIMULADOR - DADOS'!E15/250)))</f>
        <v>0</v>
      </c>
      <c r="I614" s="2" t="s">
        <v>446</v>
      </c>
      <c r="K614" s="32"/>
      <c r="L614" s="32"/>
    </row>
    <row r="615" spans="2:15" ht="15" hidden="1" x14ac:dyDescent="0.2">
      <c r="B615" s="2" t="s">
        <v>451</v>
      </c>
      <c r="H615" s="55"/>
      <c r="I615" s="2"/>
      <c r="K615" s="32"/>
      <c r="L615" s="32"/>
    </row>
    <row r="616" spans="2:15" s="2" customFormat="1" ht="15" hidden="1" x14ac:dyDescent="0.2">
      <c r="B616" s="2" t="s">
        <v>378</v>
      </c>
      <c r="H616" s="5"/>
      <c r="K616" s="5"/>
      <c r="N616" s="68"/>
    </row>
    <row r="617" spans="2:15" s="2" customFormat="1" ht="15" hidden="1" x14ac:dyDescent="0.2">
      <c r="B617" s="2" t="s">
        <v>395</v>
      </c>
      <c r="H617" s="5">
        <f>IF((ROUND((H614*'COEFICIENTES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ALTERAR'!E29),-1),ROUND((H614*'COEFICIENTES A ALTERAR'!E7*(1+('COEFICIENTES A ALTERAR'!E36*0.05))*('SIMULADOR - DADOS'!F22*'SIMULADOR - DADOS'!F24*'SIMULADOR - DADOS'!F25*'SIMULADOR - DADOS'!F26*'SIMULADOR - DADOS'!F27*'SIMULADOR - DADOS'!I24)),-1))</f>
        <v>220</v>
      </c>
      <c r="K617" s="5">
        <f>IF((ROUND((H614*'COEFICIENTES A ALTERAR'!E7*('SIMULADOR - DADOS'!F22*'SIMULADOR - DADOS'!F24*'SIMULADOR - DADOS'!F25*'SIMULADOR - DADOS'!F26*'SIMULADOR - DADOS'!F27*'SIMULADOR - DADOS'!I24)),-1))&lt;ROUND(('COEFICIENTES A ALTERAR'!E29),-1),ROUND(('COEFICIENTES A ALTERAR'!E29),-1),ROUND((H614*'COEFICIENTES A ALTERAR'!E7*('SIMULADOR - DADOS'!F22*'SIMULADOR - DADOS'!F24*'SIMULADOR - DADOS'!F25*'SIMULADOR - DADOS'!F26*'SIMULADOR - DADOS'!F27*'SIMULADOR - DADOS'!I24)),-1))</f>
        <v>220</v>
      </c>
      <c r="N617" s="68">
        <f t="shared" ref="N617" si="37">ROUND(((K617/H617)-1),1)</f>
        <v>0</v>
      </c>
    </row>
    <row r="618" spans="2:15" s="2" customFormat="1" ht="15" hidden="1" x14ac:dyDescent="0.2">
      <c r="B618" s="2" t="s">
        <v>426</v>
      </c>
      <c r="H618" s="5"/>
      <c r="K618" s="5"/>
      <c r="N618" s="68"/>
      <c r="O618" s="68"/>
    </row>
    <row r="619" spans="2:15" s="2" customFormat="1" ht="15" hidden="1" x14ac:dyDescent="0.2">
      <c r="B619" s="2" t="s">
        <v>405</v>
      </c>
      <c r="H619" s="5"/>
      <c r="K619" s="5"/>
      <c r="N619" s="68"/>
      <c r="O619" s="68"/>
    </row>
    <row r="620" spans="2:15" s="2" customFormat="1" ht="15" hidden="1" x14ac:dyDescent="0.2">
      <c r="B620" s="2" t="s">
        <v>406</v>
      </c>
      <c r="H620" s="5"/>
      <c r="K620" s="5"/>
      <c r="N620" s="68"/>
      <c r="O620" s="68"/>
    </row>
    <row r="621" spans="2:15" s="2" customFormat="1" ht="15" hidden="1" x14ac:dyDescent="0.2">
      <c r="B621" s="2" t="s">
        <v>407</v>
      </c>
      <c r="H621" s="5"/>
      <c r="K621" s="5"/>
      <c r="N621" s="68"/>
      <c r="O621" s="68"/>
    </row>
    <row r="622" spans="2:15" s="2" customFormat="1" ht="15" hidden="1" x14ac:dyDescent="0.2">
      <c r="B622" s="2" t="s">
        <v>408</v>
      </c>
      <c r="H622" s="5"/>
      <c r="K622" s="5"/>
      <c r="N622" s="68"/>
      <c r="O622" s="68"/>
    </row>
    <row r="623" spans="2:15" s="2" customFormat="1" ht="15" hidden="1" x14ac:dyDescent="0.2">
      <c r="B623" s="2" t="s">
        <v>409</v>
      </c>
      <c r="H623" s="5"/>
      <c r="K623" s="5"/>
      <c r="N623" s="68"/>
      <c r="O623" s="68"/>
    </row>
    <row r="624" spans="2:15" s="2" customFormat="1" ht="15" hidden="1" x14ac:dyDescent="0.2">
      <c r="B624" s="2" t="s">
        <v>410</v>
      </c>
      <c r="H624" s="5"/>
      <c r="K624" s="5"/>
      <c r="N624" s="68"/>
      <c r="O624" s="68"/>
    </row>
    <row r="625" spans="2:15" s="2" customFormat="1" ht="15" hidden="1" x14ac:dyDescent="0.2">
      <c r="B625" s="2" t="s">
        <v>411</v>
      </c>
      <c r="H625" s="5"/>
      <c r="K625" s="5"/>
      <c r="N625" s="68"/>
      <c r="O625" s="68"/>
    </row>
    <row r="626" spans="2:15" s="2" customFormat="1" ht="15" hidden="1" x14ac:dyDescent="0.2">
      <c r="B626" s="2" t="s">
        <v>431</v>
      </c>
      <c r="H626" s="5"/>
      <c r="K626" s="5"/>
      <c r="N626" s="68"/>
      <c r="O626" s="68"/>
    </row>
    <row r="627" spans="2:15" s="2" customFormat="1" ht="15" hidden="1" x14ac:dyDescent="0.2">
      <c r="B627" s="2" t="s">
        <v>432</v>
      </c>
      <c r="H627" s="5"/>
      <c r="K627" s="5"/>
      <c r="N627" s="68"/>
      <c r="O627" s="68"/>
    </row>
    <row r="628" spans="2:15" s="2" customFormat="1" ht="15" hidden="1" x14ac:dyDescent="0.2">
      <c r="B628" s="2" t="s">
        <v>433</v>
      </c>
      <c r="H628" s="5"/>
      <c r="J628" s="126"/>
      <c r="K628" s="127"/>
      <c r="N628" s="68"/>
      <c r="O628" s="55"/>
    </row>
    <row r="629" spans="2:15" hidden="1" x14ac:dyDescent="0.2"/>
    <row r="630" spans="2:15" hidden="1" x14ac:dyDescent="0.2"/>
    <row r="631" spans="2:15" hidden="1" x14ac:dyDescent="0.2"/>
    <row r="632" spans="2:15" ht="15" hidden="1" x14ac:dyDescent="0.2">
      <c r="B632" s="2" t="s">
        <v>368</v>
      </c>
      <c r="H632" s="55">
        <f>0.05*'SIMULADOR - DADOS'!E15*(0.95^('SIMULADOR - DADOS'!E15/1000))</f>
        <v>0</v>
      </c>
      <c r="I632" s="2" t="s">
        <v>446</v>
      </c>
      <c r="K632" s="32"/>
      <c r="L632" s="32"/>
    </row>
    <row r="633" spans="2:15" ht="15" hidden="1" x14ac:dyDescent="0.2">
      <c r="B633" s="2" t="s">
        <v>451</v>
      </c>
      <c r="H633" s="55">
        <f>(H632*2)+(('SIMULADOR - DADOS'!E15-'SIMULADOR - CUSTO PROJETOS'!H632)*0.2)</f>
        <v>0</v>
      </c>
      <c r="I633" s="2" t="s">
        <v>446</v>
      </c>
      <c r="K633" s="32"/>
      <c r="L633" s="32"/>
    </row>
    <row r="634" spans="2:15" s="2" customFormat="1" ht="15" hidden="1" x14ac:dyDescent="0.2">
      <c r="B634" s="2" t="s">
        <v>378</v>
      </c>
      <c r="H634" s="5">
        <f>IF((ROUND((H633*'COEFICIENTES A ALTERAR'!E7*0.1*('SIMULADOR - DADOS'!F22*'SIMULADOR - DADOS'!F24*'SIMULADOR - DADOS'!F25*'SIMULADOR - DADOS'!F26*'SIMULADOR - DADOS'!F27*'SIMULADOR - DADOS'!I24)),-1))&lt;ROUND(('COEFICIENTES A ALTERAR'!E29),-1),ROUND(('COEFICIENTES A ALTERAR'!E29),-1),ROUND((H633*'COEFICIENTES A ALTERAR'!E7*0.1*('SIMULADOR - DADOS'!F22*'SIMULADOR - DADOS'!F24*'SIMULADOR - DADOS'!F25*'SIMULADOR - DADOS'!F26*'SIMULADOR - DADOS'!F27*'SIMULADOR - DADOS'!I24)),-1))</f>
        <v>220</v>
      </c>
      <c r="K634" s="5"/>
      <c r="N634" s="68"/>
    </row>
    <row r="635" spans="2:15" s="2" customFormat="1" ht="15" hidden="1" x14ac:dyDescent="0.2">
      <c r="B635" s="2" t="s">
        <v>395</v>
      </c>
      <c r="H635" s="5">
        <f>IF((ROUND((H632*'COEFICIENTES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ALTERAR'!E29),-1),ROUND((H632*'COEFICIENTES A ALTERAR'!E7*(1+('COEFICIENTES A ALTERAR'!E36*0.05))*('SIMULADOR - DADOS'!F22*'SIMULADOR - DADOS'!F24*'SIMULADOR - DADOS'!F25*'SIMULADOR - DADOS'!F26*'SIMULADOR - DADOS'!F27*'SIMULADOR - DADOS'!I24)),-1))</f>
        <v>220</v>
      </c>
      <c r="K635" s="5">
        <f>IF((ROUND((H632*'COEFICIENTES A ALTERAR'!E7*('SIMULADOR - DADOS'!F22*'SIMULADOR - DADOS'!F24*'SIMULADOR - DADOS'!F25*'SIMULADOR - DADOS'!F26*'SIMULADOR - DADOS'!F27*'SIMULADOR - DADOS'!I24)),-1))&lt;ROUND(('COEFICIENTES A ALTERAR'!E29),-1),ROUND(('COEFICIENTES A ALTERAR'!E29),-1),ROUND((H632*'COEFICIENTES A ALTERAR'!E7*('SIMULADOR - DADOS'!F22*'SIMULADOR - DADOS'!F24*'SIMULADOR - DADOS'!F25*'SIMULADOR - DADOS'!F26*'SIMULADOR - DADOS'!F27*'SIMULADOR - DADOS'!I24)),-1))</f>
        <v>220</v>
      </c>
      <c r="N635" s="68">
        <f t="shared" ref="N635" si="38">ROUND(((K635/H635)-1),1)</f>
        <v>0</v>
      </c>
    </row>
    <row r="636" spans="2:15" s="2" customFormat="1" ht="15" hidden="1" x14ac:dyDescent="0.2">
      <c r="H636" s="5"/>
      <c r="K636" s="5"/>
      <c r="N636" s="68"/>
      <c r="O636" s="68"/>
    </row>
    <row r="637" spans="2:15" s="2" customFormat="1" ht="15" hidden="1" x14ac:dyDescent="0.2">
      <c r="H637" s="5"/>
      <c r="K637" s="5"/>
      <c r="N637" s="68"/>
      <c r="O637" s="68"/>
    </row>
    <row r="638" spans="2:15" s="2" customFormat="1" ht="15" hidden="1" x14ac:dyDescent="0.2">
      <c r="H638" s="5"/>
      <c r="K638" s="5"/>
      <c r="N638" s="68"/>
      <c r="O638" s="68"/>
    </row>
    <row r="639" spans="2:15" ht="15" hidden="1" x14ac:dyDescent="0.2">
      <c r="B639" s="2" t="s">
        <v>370</v>
      </c>
      <c r="H639" s="55">
        <f>'SIMULADOR - DADOS'!E15*(0.3^('SIMULADOR - DADOS'!E15/10000))</f>
        <v>0</v>
      </c>
      <c r="I639" s="2" t="s">
        <v>446</v>
      </c>
      <c r="K639" s="32"/>
      <c r="L639" s="32"/>
    </row>
    <row r="640" spans="2:15" s="2" customFormat="1" ht="15" hidden="1" x14ac:dyDescent="0.2">
      <c r="B640" s="2" t="s">
        <v>378</v>
      </c>
      <c r="H640" s="5">
        <f>IF((ROUND((H639*'COEFICIENTES A ALTERAR'!E7*0.1*('SIMULADOR - DADOS'!F22*'SIMULADOR - DADOS'!F24*'SIMULADOR - DADOS'!F25*'SIMULADOR - DADOS'!F26*'SIMULADOR - DADOS'!F27*'SIMULADOR - DADOS'!I24)),-1))&lt;ROUND(('COEFICIENTES A ALTERAR'!E29),-1),ROUND(('COEFICIENTES A ALTERAR'!E29),-1),ROUND((H639*'COEFICIENTES A ALTERAR'!E7*0.1*('SIMULADOR - DADOS'!F22*'SIMULADOR - DADOS'!F24*'SIMULADOR - DADOS'!F25*'SIMULADOR - DADOS'!F26*'SIMULADOR - DADOS'!F27*'SIMULADOR - DADOS'!I24)),-1))</f>
        <v>220</v>
      </c>
      <c r="K640" s="5"/>
      <c r="N640" s="68"/>
    </row>
    <row r="641" spans="2:15" s="2" customFormat="1" ht="15" hidden="1" x14ac:dyDescent="0.2">
      <c r="B641" s="2" t="s">
        <v>479</v>
      </c>
      <c r="H641" s="5">
        <f>IF((ROUND((H639*'COEFICIENTES A ALTERAR'!E25*(1+('COEFICIENTES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ALTERAR'!E29),-1),ROUND((H639*'COEFICIENTES A ALTERAR'!E25*(1+('COEFICIENTES A ALTERAR'!E36*0.05))*('SIMULADOR - DADOS'!F22*'SIMULADOR - DADOS'!F24*'SIMULADOR - DADOS'!F25*'SIMULADOR - DADOS'!F26*'SIMULADOR - DADOS'!F27*'SIMULADOR - DADOS'!I24)),-1))</f>
        <v>220</v>
      </c>
      <c r="K641" s="5">
        <f>IF((ROUND((H639*'COEFICIENTES A ALTERAR'!E25*('SIMULADOR - DADOS'!F22*'SIMULADOR - DADOS'!F24*'SIMULADOR - DADOS'!F25*'SIMULADOR - DADOS'!F26*'SIMULADOR - DADOS'!F27*'SIMULADOR - DADOS'!I24)),-1))&lt;ROUND(('COEFICIENTES A ALTERAR'!E29),-1),ROUND(('COEFICIENTES A ALTERAR'!E29),-1),ROUND((H639*'COEFICIENTES A ALTERAR'!E25*('SIMULADOR - DADOS'!F22*'SIMULADOR - DADOS'!F24*'SIMULADOR - DADOS'!F25*'SIMULADOR - DADOS'!F26*'SIMULADOR - DADOS'!F27*'SIMULADOR - DADOS'!I24)),-1))</f>
        <v>220</v>
      </c>
      <c r="N641" s="68">
        <f t="shared" ref="N641" si="39">ROUND(((K641/H641)-1),1)</f>
        <v>0</v>
      </c>
    </row>
    <row r="642" spans="2:15" s="2" customFormat="1" ht="15" hidden="1" x14ac:dyDescent="0.2">
      <c r="H642" s="5"/>
      <c r="K642" s="5"/>
      <c r="N642" s="68"/>
      <c r="O642" s="68"/>
    </row>
    <row r="643" spans="2:15" s="2" customFormat="1" ht="15" hidden="1" x14ac:dyDescent="0.2">
      <c r="H643" s="5"/>
      <c r="K643" s="5"/>
      <c r="N643" s="68"/>
      <c r="O643" s="68"/>
    </row>
    <row r="644" spans="2:15" s="2" customFormat="1" ht="15" hidden="1" x14ac:dyDescent="0.2">
      <c r="H644" s="5"/>
      <c r="K644" s="5"/>
      <c r="N644" s="68"/>
      <c r="O644" s="68"/>
    </row>
    <row r="645" spans="2:15" ht="15" hidden="1" x14ac:dyDescent="0.2">
      <c r="B645" s="2" t="s">
        <v>480</v>
      </c>
      <c r="H645" s="55">
        <f>(0.05*'SIMULADOR - DADOS'!E15*(0.95^('SIMULADOR - DADOS'!E15/5000)))</f>
        <v>0</v>
      </c>
      <c r="I645" s="2" t="s">
        <v>446</v>
      </c>
      <c r="K645" s="32"/>
      <c r="L645" s="32"/>
    </row>
    <row r="646" spans="2:15" ht="15" hidden="1" x14ac:dyDescent="0.2">
      <c r="B646" s="2" t="s">
        <v>451</v>
      </c>
      <c r="H646" s="55">
        <f>(H645*2)+(('SIMULADOR - DADOS'!E15-'SIMULADOR - CUSTO PROJETOS'!H645)*0.2)</f>
        <v>0</v>
      </c>
      <c r="I646" s="2" t="s">
        <v>446</v>
      </c>
      <c r="K646" s="32"/>
      <c r="L646" s="32"/>
    </row>
    <row r="647" spans="2:15" s="2" customFormat="1" ht="15" hidden="1" x14ac:dyDescent="0.2">
      <c r="B647" s="2" t="s">
        <v>378</v>
      </c>
      <c r="H647" s="5">
        <f>IF((ROUND((H646*'COEFICIENTES A ALTERAR'!E7*0.1*('SIMULADOR - DADOS'!F22*'SIMULADOR - DADOS'!F24*'SIMULADOR - DADOS'!F25*'SIMULADOR - DADOS'!F26*'SIMULADOR - DADOS'!F27*'SIMULADOR - DADOS'!I24)),-1))&lt;ROUND(('COEFICIENTES A ALTERAR'!E29),-1),ROUND(('COEFICIENTES A ALTERAR'!E29),-1),ROUND((H646*'COEFICIENTES A ALTERAR'!E7*0.1*('SIMULADOR - DADOS'!F22*'SIMULADOR - DADOS'!F24*'SIMULADOR - DADOS'!F25*'SIMULADOR - DADOS'!F26*'SIMULADOR - DADOS'!F27*'SIMULADOR - DADOS'!I24)),-1))</f>
        <v>220</v>
      </c>
      <c r="K647" s="5"/>
      <c r="N647" s="68"/>
    </row>
    <row r="648" spans="2:15" s="2" customFormat="1" ht="15" hidden="1" x14ac:dyDescent="0.2">
      <c r="B648" s="2" t="s">
        <v>395</v>
      </c>
      <c r="H648" s="5">
        <f>IF((ROUND((H645*'COEFICIENTES A ALTERAR'!E7*(1+('COEFICIENTES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ALTERAR'!E29),-1),ROUND((H645*'COEFICIENTES A ALTERAR'!E7*(1+('COEFICIENTES A ALTERAR'!E36*0.05))*('SIMULADOR - DADOS'!F22*'SIMULADOR - DADOS'!F24*'SIMULADOR - DADOS'!F25*'SIMULADOR - DADOS'!F26*'SIMULADOR - DADOS'!F27*'SIMULADOR - DADOS'!I24)),-1))</f>
        <v>220</v>
      </c>
      <c r="K648" s="5">
        <f>IF((ROUND((H645*'COEFICIENTES A ALTERAR'!E7*('SIMULADOR - DADOS'!F22*'SIMULADOR - DADOS'!F24*'SIMULADOR - DADOS'!F25*'SIMULADOR - DADOS'!F26*'SIMULADOR - DADOS'!F27*'SIMULADOR - DADOS'!I24)),-1))&lt;ROUND(('COEFICIENTES A ALTERAR'!E29),-1),ROUND(('COEFICIENTES A ALTERAR'!E29),-1),ROUND((H645*'COEFICIENTES A ALTERAR'!E7*('SIMULADOR - DADOS'!F22*'SIMULADOR - DADOS'!F24*'SIMULADOR - DADOS'!F25*'SIMULADOR - DADOS'!F26*'SIMULADOR - DADOS'!F27*'SIMULADOR - DADOS'!I24)),-1))</f>
        <v>220</v>
      </c>
      <c r="N648" s="68">
        <f t="shared" ref="N648:N649" si="40">ROUND(((K648/H648)-1),1)</f>
        <v>0</v>
      </c>
    </row>
    <row r="649" spans="2:15" s="2" customFormat="1" ht="15" hidden="1" x14ac:dyDescent="0.2">
      <c r="B649" s="2" t="s">
        <v>481</v>
      </c>
      <c r="H649" s="5">
        <f>IF((ROUND((H645*'COEFICIENTES A ALTERAR'!E11*(1+('COEFICIENTES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ALTERAR'!E29),-1),ROUND((H645*'COEFICIENTES A ALTERAR'!E11*(1+('COEFICIENTES A ALTERAR'!E36*0.05))*('SIMULADOR - DADOS'!F22*'SIMULADOR - DADOS'!F24*'SIMULADOR - DADOS'!F25*'SIMULADOR - DADOS'!F26*'SIMULADOR - DADOS'!F27*'SIMULADOR - DADOS'!I24)),-1))</f>
        <v>220</v>
      </c>
      <c r="K649" s="5">
        <f>IF((ROUND((H645*'COEFICIENTES A ALTERAR'!E11*('SIMULADOR - DADOS'!F22*'SIMULADOR - DADOS'!F24*'SIMULADOR - DADOS'!F25*'SIMULADOR - DADOS'!F26*'SIMULADOR - DADOS'!F27*'SIMULADOR - DADOS'!I24)),-1))&lt;ROUND(('COEFICIENTES A ALTERAR'!E29),-1),ROUND(('COEFICIENTES A ALTERAR'!E29),-1),ROUND((H645*'COEFICIENTES A ALTERAR'!E11*('SIMULADOR - DADOS'!F22*'SIMULADOR - DADOS'!F24*'SIMULADOR - DADOS'!F25*'SIMULADOR - DADOS'!F26*'SIMULADOR - DADOS'!F27*'SIMULADOR - DADOS'!I24)),-1))</f>
        <v>220</v>
      </c>
      <c r="N649" s="68">
        <f t="shared" si="40"/>
        <v>0</v>
      </c>
      <c r="O649" s="68"/>
    </row>
    <row r="650" spans="2:15" s="2" customFormat="1" ht="15" hidden="1" x14ac:dyDescent="0.2">
      <c r="B650" s="2" t="s">
        <v>405</v>
      </c>
      <c r="H650" s="5">
        <f>IF((ROUND((H645*'COEFICIENTES A ALTERAR'!E13*(1+('COEFICIENTES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ALTERAR'!E29),-1),ROUND((H645*'COEFICIENTES A ALTERAR'!E13*(1+('COEFICIENTES A ALTERAR'!E36*0.05))*('SIMULADOR - DADOS'!F22*'SIMULADOR - DADOS'!F24*'SIMULADOR - DADOS'!F25*'SIMULADOR - DADOS'!F26*'SIMULADOR - DADOS'!F27*'SIMULADOR - DADOS'!I24)),-1))</f>
        <v>220</v>
      </c>
      <c r="K650" s="5">
        <f>IF((ROUND((H645*'COEFICIENTES A ALTERAR'!E13*('SIMULADOR - DADOS'!F22*'SIMULADOR - DADOS'!F24*'SIMULADOR - DADOS'!F25*'SIMULADOR - DADOS'!F26*'SIMULADOR - DADOS'!F27*'SIMULADOR - DADOS'!I24)),-1))&lt;ROUND(('COEFICIENTES A ALTERAR'!E29),-1),ROUND(('COEFICIENTES A ALTERAR'!E29),-1),ROUND((H645*'COEFICIENTES A ALTERAR'!E13*('SIMULADOR - DADOS'!F22*'SIMULADOR - DADOS'!F24*'SIMULADOR - DADOS'!F25*'SIMULADOR - DADOS'!F26*'SIMULADOR - DADOS'!F27*'SIMULADOR - DADOS'!I24)),-1))</f>
        <v>220</v>
      </c>
      <c r="N650" s="68">
        <f>ROUND(((K650/H650)-1),1)</f>
        <v>0</v>
      </c>
      <c r="O650" s="68">
        <f>IF(N650&gt;N649,N650,N649)</f>
        <v>0</v>
      </c>
    </row>
    <row r="651" spans="2:15" s="2" customFormat="1" ht="15" hidden="1" x14ac:dyDescent="0.2">
      <c r="B651" s="2" t="s">
        <v>406</v>
      </c>
      <c r="H651" s="5">
        <f>IF((ROUND((H645*'COEFICIENTES A ALTERAR'!E15*(1+('COEFICIENTES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ALTERAR'!E29),-1),ROUND((H645*'COEFICIENTES A ALTERAR'!E15*(1+('COEFICIENTES A ALTERAR'!E36*0.05))*('SIMULADOR - DADOS'!F22*'SIMULADOR - DADOS'!F24*'SIMULADOR - DADOS'!F25*'SIMULADOR - DADOS'!F26*'SIMULADOR - DADOS'!F27*'SIMULADOR - DADOS'!I24)),-1))</f>
        <v>220</v>
      </c>
      <c r="K651" s="5">
        <f>IF((ROUND((H645*'COEFICIENTES A ALTERAR'!E15*('SIMULADOR - DADOS'!F22*'SIMULADOR - DADOS'!F24*'SIMULADOR - DADOS'!F25*'SIMULADOR - DADOS'!F26*'SIMULADOR - DADOS'!F27*'SIMULADOR - DADOS'!I24)),-1))&lt;ROUND(('COEFICIENTES A ALTERAR'!E29),-1),ROUND(('COEFICIENTES A ALTERAR'!E29),-1),ROUND((H645*'COEFICIENTES A ALTERAR'!E15*('SIMULADOR - DADOS'!F22*'SIMULADOR - DADOS'!F24*'SIMULADOR - DADOS'!F25*'SIMULADOR - DADOS'!F26*'SIMULADOR - DADOS'!F27*'SIMULADOR - DADOS'!I24)),-1))</f>
        <v>220</v>
      </c>
      <c r="N651" s="68">
        <f>ROUND(((K651/H651)-1),1)</f>
        <v>0</v>
      </c>
      <c r="O651" s="68">
        <f>IF(N651&gt;N650,N651,N650)</f>
        <v>0</v>
      </c>
    </row>
    <row r="652" spans="2:15" s="2" customFormat="1" ht="15" hidden="1" x14ac:dyDescent="0.2">
      <c r="B652" s="2" t="s">
        <v>482</v>
      </c>
      <c r="H652" s="5"/>
      <c r="K652" s="5"/>
      <c r="N652" s="68"/>
      <c r="O652" s="68"/>
    </row>
    <row r="653" spans="2:15" s="2" customFormat="1" ht="15" hidden="1" x14ac:dyDescent="0.2">
      <c r="B653" s="2" t="s">
        <v>410</v>
      </c>
      <c r="H653" s="5">
        <f>IF((ROUND((H645*'COEFICIENTES A ALTERAR'!E23*(1+('COEFICIENTES A ALTERAR'!E36*0.05))*('SIMULADOR - DADOS'!F22*'SIMULADOR - DADOS'!F24*'SIMULADOR - DADOS'!F25*'SIMULADOR - DADOS'!F26*'SIMULADOR - DADOS'!F27*'SIMULADOR - DADOS'!I24)),-1))&lt;ROUND(('COEFICIENTES A ALTERAR'!E29),-1),ROUND(('COEFICIENTES A ALTERAR'!E29),-1),ROUND((H645*'COEFICIENTES A ALTERAR'!E23*(1+('COEFICIENTES A ALTERAR'!E36*0.05))*('SIMULADOR - DADOS'!F22*'SIMULADOR - DADOS'!F24*'SIMULADOR - DADOS'!F25*'SIMULADOR - DADOS'!F26*'SIMULADOR - DADOS'!F27*'SIMULADOR - DADOS'!I24)),-1))</f>
        <v>220</v>
      </c>
      <c r="K653" s="5">
        <f>IF((ROUND((H645*'COEFICIENTES A ALTERAR'!E23*('SIMULADOR - DADOS'!F22*'SIMULADOR - DADOS'!F24*'SIMULADOR - DADOS'!F25*'SIMULADOR - DADOS'!F26*'SIMULADOR - DADOS'!F27*'SIMULADOR - DADOS'!I24)),-1))&lt;ROUND(('COEFICIENTES A ALTERAR'!E29),-1),ROUND(('COEFICIENTES A ALTERAR'!E29),-1),ROUND((H645*'COEFICIENTES A ALTERAR'!E23*('SIMULADOR - DADOS'!F22*'SIMULADOR - DADOS'!F24*'SIMULADOR - DADOS'!F25*'SIMULADOR - DADOS'!F26*'SIMULADOR - DADOS'!F27*'SIMULADOR - DADOS'!I24)),-1))</f>
        <v>220</v>
      </c>
      <c r="N653" s="68">
        <f>ROUND(((K653/H653)-1),1)</f>
        <v>0</v>
      </c>
      <c r="O653" s="68">
        <f>IF(N653&gt;N651,N653,N651)</f>
        <v>0</v>
      </c>
    </row>
    <row r="654" spans="2:15" s="2" customFormat="1" ht="15" hidden="1" x14ac:dyDescent="0.2">
      <c r="B654" s="2" t="s">
        <v>411</v>
      </c>
      <c r="H654" s="5">
        <f>ROUND(('COEFICIENTES A ALTERAR'!E27*(1.5^(O657-1))*(1+('COEFICIENTES A ALTERAR'!E36*0.05))*('SIMULADOR - DADOS'!F22*'SIMULADOR - DADOS'!F24*'SIMULADOR - DADOS'!F25*'SIMULADOR - DADOS'!F26*'SIMULADOR - DADOS'!F27*'SIMULADOR - DADOS'!I24)),-1)</f>
        <v>0</v>
      </c>
      <c r="K654" s="5">
        <f>ROUND(('COEFICIENTES A ALTERAR'!E27*(1.5^(O657-1))*('SIMULADOR - DADOS'!F22*'SIMULADOR - DADOS'!F24*'SIMULADOR - DADOS'!F25*'SIMULADOR - DADOS'!F26*'SIMULADOR - DADOS'!F27*'SIMULADOR - DADOS'!I24)),-1)</f>
        <v>0</v>
      </c>
      <c r="N654" s="68" t="e">
        <f>ROUND(((K654/H654)-1),1)</f>
        <v>#DIV/0!</v>
      </c>
      <c r="O654" s="68" t="e">
        <f>IF(N654&gt;N653,N654,N653)</f>
        <v>#DIV/0!</v>
      </c>
    </row>
    <row r="655" spans="2:15" s="2" customFormat="1" ht="15" hidden="1" x14ac:dyDescent="0.2">
      <c r="B655" s="2" t="s">
        <v>431</v>
      </c>
      <c r="H655" s="5">
        <f>ROUND(('COEFICIENTES A ALTERAR'!E31*(1.5^(O657-1))*(1+('COEFICIENTES A ALTERAR'!E36*0.05))*('SIMULADOR - DADOS'!F22*'SIMULADOR - DADOS'!F24*'SIMULADOR - DADOS'!F25*'SIMULADOR - DADOS'!F26*'SIMULADOR - DADOS'!F27*'SIMULADOR - DADOS'!I24)),-1)</f>
        <v>0</v>
      </c>
      <c r="K655" s="5"/>
      <c r="N655" s="68"/>
      <c r="O655" s="68"/>
    </row>
    <row r="656" spans="2:15" s="2" customFormat="1" ht="15" hidden="1" x14ac:dyDescent="0.2">
      <c r="B656" s="2" t="s">
        <v>432</v>
      </c>
      <c r="H656" s="5">
        <f>IF(H655/2&lt;'COEFICIENTES A ALTERAR'!E31,ROUND(('COEFICIENTES A ALTERAR'!E31),-1),H655/2)</f>
        <v>100</v>
      </c>
      <c r="K656" s="5"/>
      <c r="N656" s="68"/>
      <c r="O656" s="68"/>
    </row>
    <row r="657" spans="2:15" s="2" customFormat="1" ht="15" hidden="1" x14ac:dyDescent="0.2">
      <c r="B657" s="2" t="s">
        <v>433</v>
      </c>
      <c r="H657" s="5">
        <f>ROUND(('COEFICIENTES A ALTERAR'!E33*(1.5^(O657-1))*(1+('COEFICIENTES A ALTERAR'!E36*0.05))*('SIMULADOR - DADOS'!F22*'SIMULADOR - DADOS'!F24*'SIMULADOR - DADOS'!F25*'SIMULADOR - DADOS'!F26*'SIMULADOR - DADOS'!F27*'SIMULADOR - DADOS'!I24)),-1)</f>
        <v>0</v>
      </c>
      <c r="J657" s="126">
        <f>H645*'COEFICIENTES A ALTERAR'!E39</f>
        <v>0</v>
      </c>
      <c r="K657" s="127"/>
      <c r="N657" s="68" t="s">
        <v>444</v>
      </c>
      <c r="O657" s="55">
        <f>IF(J657&lt;'COEFICIENTES A ALTERAR'!E40,1,IF('SIMULADOR - CUSTO PROJETOS'!J657&lt;'COEFICIENTES A ALTERAR'!E41,2,IF('SIMULADOR - CUSTO PROJETOS'!J657&lt;'COEFICIENTES A ALTERAR'!E42,3,IF('SIMULADOR - CUSTO PROJETOS'!J657&lt;'COEFICIENTES A ALTERAR'!E43,4,IF('SIMULADOR - CUSTO PROJETOS'!J657&lt;'COEFICIENTES A ALTERAR'!E44,5,IF('SIMULADOR - CUSTO PROJETOS'!J657&lt;'COEFICIENTES A ALTERAR'!E45,6,IF('SIMULADOR - CUSTO PROJETOS'!J657&lt;'COEFICIENTES A ALTERAR'!E46,7,IF('SIMULADOR - CUSTO PROJETOS'!J657&lt;'COEFICIENTES A ALTERAR'!E47,8,9))))))))</f>
        <v>1</v>
      </c>
    </row>
    <row r="658" spans="2:15" hidden="1" x14ac:dyDescent="0.2"/>
    <row r="659" spans="2:15" hidden="1" x14ac:dyDescent="0.2"/>
    <row r="660" spans="2:15" ht="15" hidden="1" x14ac:dyDescent="0.2">
      <c r="B660" s="2" t="s">
        <v>483</v>
      </c>
      <c r="E660">
        <f>IF('SIMULADOR - DADOS'!D24="CORRIGIR CAMPOS",1,IF('SIMULADOR - DADOS'!D24="FALTA PREENCHER NOME",1,0))</f>
        <v>1</v>
      </c>
    </row>
    <row r="661" spans="2:15" hidden="1" x14ac:dyDescent="0.2"/>
  </sheetData>
  <sheetProtection password="E7E5" sheet="1" objects="1" scenarios="1" selectLockedCells="1" selectUnlockedCells="1"/>
  <dataConsolidate function="stdDevp"/>
  <mergeCells count="58">
    <mergeCell ref="J235:K235"/>
    <mergeCell ref="J252:K252"/>
    <mergeCell ref="J269:K269"/>
    <mergeCell ref="D3:H3"/>
    <mergeCell ref="C5:K5"/>
    <mergeCell ref="J147:K147"/>
    <mergeCell ref="J165:K165"/>
    <mergeCell ref="C30:D30"/>
    <mergeCell ref="C31:D31"/>
    <mergeCell ref="C32:D32"/>
    <mergeCell ref="J130:K130"/>
    <mergeCell ref="J9:K9"/>
    <mergeCell ref="J19:K19"/>
    <mergeCell ref="J13:K13"/>
    <mergeCell ref="D7:K7"/>
    <mergeCell ref="D9:E9"/>
    <mergeCell ref="G9:H9"/>
    <mergeCell ref="J20:K20"/>
    <mergeCell ref="J21:K21"/>
    <mergeCell ref="J22:K22"/>
    <mergeCell ref="H15:K15"/>
    <mergeCell ref="J11:K11"/>
    <mergeCell ref="J16:K16"/>
    <mergeCell ref="J17:K17"/>
    <mergeCell ref="J18:K18"/>
    <mergeCell ref="J183:K183"/>
    <mergeCell ref="J201:K201"/>
    <mergeCell ref="J218:K218"/>
    <mergeCell ref="J23:K23"/>
    <mergeCell ref="J61:K61"/>
    <mergeCell ref="J78:K78"/>
    <mergeCell ref="J95:K95"/>
    <mergeCell ref="J112:K112"/>
    <mergeCell ref="H41:K41"/>
    <mergeCell ref="J42:K42"/>
    <mergeCell ref="J43:K43"/>
    <mergeCell ref="J44:K44"/>
    <mergeCell ref="J466:K466"/>
    <mergeCell ref="J376:K376"/>
    <mergeCell ref="J394:K394"/>
    <mergeCell ref="J412:K412"/>
    <mergeCell ref="J430:K430"/>
    <mergeCell ref="J448:K448"/>
    <mergeCell ref="J287:K287"/>
    <mergeCell ref="J304:K304"/>
    <mergeCell ref="J322:K322"/>
    <mergeCell ref="J340:K340"/>
    <mergeCell ref="J358:K358"/>
    <mergeCell ref="J657:K657"/>
    <mergeCell ref="J484:K484"/>
    <mergeCell ref="J502:K502"/>
    <mergeCell ref="J520:K520"/>
    <mergeCell ref="J538:K538"/>
    <mergeCell ref="J556:K556"/>
    <mergeCell ref="J574:K574"/>
    <mergeCell ref="J592:K592"/>
    <mergeCell ref="J610:K610"/>
    <mergeCell ref="J628:K628"/>
  </mergeCells>
  <conditionalFormatting sqref="B2:L45">
    <cfRule type="expression" dxfId="8" priority="1">
      <formula>$E$660=1</formula>
    </cfRule>
  </conditionalFormatting>
  <conditionalFormatting sqref="H16">
    <cfRule type="expression" dxfId="7" priority="24">
      <formula>$K$15=92</formula>
    </cfRule>
  </conditionalFormatting>
  <conditionalFormatting sqref="H17:H29 H32:H34 H39:H40 H43">
    <cfRule type="expression" dxfId="6" priority="25">
      <formula>$J$11=6</formula>
    </cfRule>
    <cfRule type="expression" dxfId="5" priority="26">
      <formula>$J$11=5</formula>
    </cfRule>
  </conditionalFormatting>
  <conditionalFormatting sqref="H41">
    <cfRule type="cellIs" dxfId="4" priority="6" operator="between">
      <formula>0</formula>
      <formula>0</formula>
    </cfRule>
  </conditionalFormatting>
  <conditionalFormatting sqref="H42">
    <cfRule type="expression" dxfId="3" priority="12">
      <formula>$K$15=92</formula>
    </cfRule>
  </conditionalFormatting>
  <conditionalFormatting sqref="H44">
    <cfRule type="expression" dxfId="2" priority="9">
      <formula>$K$15=92</formula>
    </cfRule>
  </conditionalFormatting>
  <conditionalFormatting sqref="J11 J12:K14 H15 J16:K23">
    <cfRule type="cellIs" dxfId="1" priority="8" operator="between">
      <formula>0</formula>
      <formula>0</formula>
    </cfRule>
  </conditionalFormatting>
  <conditionalFormatting sqref="J42:K44">
    <cfRule type="cellIs" dxfId="0" priority="7" operator="between">
      <formula>0</formula>
      <formula>0</formula>
    </cfRule>
  </conditionalFormatting>
  <pageMargins left="0" right="0" top="0.39370078740157483" bottom="0" header="0" footer="0"/>
  <pageSetup paperSize="9" fitToWidth="0" fitToHeight="0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J48"/>
  <sheetViews>
    <sheetView topLeftCell="A21" workbookViewId="0">
      <selection activeCell="H39" sqref="H39"/>
    </sheetView>
  </sheetViews>
  <sheetFormatPr defaultRowHeight="12.75" x14ac:dyDescent="0.2"/>
  <cols>
    <col min="4" max="4" width="22.5703125" customWidth="1"/>
    <col min="5" max="5" width="23.7109375" bestFit="1" customWidth="1"/>
    <col min="6" max="6" width="11.42578125" bestFit="1" customWidth="1"/>
    <col min="7" max="7" width="1.7109375" customWidth="1"/>
  </cols>
  <sheetData>
    <row r="1" spans="2:10" s="32" customFormat="1" x14ac:dyDescent="0.2"/>
    <row r="2" spans="2:10" s="32" customFormat="1" ht="15.75" x14ac:dyDescent="0.2">
      <c r="B2" s="140" t="s">
        <v>393</v>
      </c>
      <c r="C2" s="141"/>
      <c r="D2" s="141"/>
      <c r="E2" s="141"/>
      <c r="F2" s="141"/>
      <c r="G2"/>
      <c r="H2"/>
      <c r="I2"/>
      <c r="J2"/>
    </row>
    <row r="3" spans="2:10" s="32" customFormat="1" ht="17.25" x14ac:dyDescent="0.2">
      <c r="B3" s="142" t="s">
        <v>485</v>
      </c>
      <c r="C3" s="143"/>
      <c r="D3" s="143"/>
      <c r="E3" s="143"/>
      <c r="F3" s="143"/>
      <c r="G3"/>
      <c r="H3"/>
      <c r="I3"/>
      <c r="J3"/>
    </row>
    <row r="4" spans="2:10" s="32" customFormat="1" ht="15" x14ac:dyDescent="0.2">
      <c r="B4" s="41"/>
      <c r="C4"/>
      <c r="D4"/>
      <c r="E4"/>
      <c r="F4"/>
      <c r="G4"/>
      <c r="H4"/>
      <c r="I4"/>
      <c r="J4"/>
    </row>
    <row r="5" spans="2:10" s="32" customFormat="1" x14ac:dyDescent="0.2">
      <c r="B5" s="42"/>
      <c r="C5"/>
      <c r="D5"/>
      <c r="E5" s="48" t="s">
        <v>376</v>
      </c>
      <c r="G5"/>
      <c r="H5"/>
      <c r="I5"/>
      <c r="J5"/>
    </row>
    <row r="6" spans="2:10" s="32" customFormat="1" x14ac:dyDescent="0.2">
      <c r="B6" s="43"/>
      <c r="C6"/>
      <c r="D6"/>
      <c r="E6"/>
      <c r="F6"/>
      <c r="G6"/>
      <c r="H6"/>
      <c r="I6"/>
      <c r="J6"/>
    </row>
    <row r="7" spans="2:10" s="32" customFormat="1" ht="16.5" x14ac:dyDescent="0.2">
      <c r="B7" s="51" t="s">
        <v>377</v>
      </c>
      <c r="C7"/>
      <c r="D7"/>
      <c r="E7" s="52">
        <v>9.9329999999999998</v>
      </c>
      <c r="F7" s="2" t="s">
        <v>394</v>
      </c>
      <c r="G7" s="44"/>
      <c r="H7"/>
      <c r="I7"/>
      <c r="J7"/>
    </row>
    <row r="8" spans="2:10" s="2" customFormat="1" ht="15" x14ac:dyDescent="0.2">
      <c r="C8" s="2" t="s">
        <v>378</v>
      </c>
      <c r="E8" s="49">
        <v>0.1</v>
      </c>
      <c r="F8" s="2" t="s">
        <v>395</v>
      </c>
      <c r="H8" s="41"/>
    </row>
    <row r="9" spans="2:10" s="32" customFormat="1" ht="15" x14ac:dyDescent="0.2">
      <c r="B9" s="41"/>
      <c r="C9"/>
      <c r="D9"/>
      <c r="E9"/>
      <c r="F9"/>
      <c r="G9"/>
      <c r="H9"/>
      <c r="I9"/>
      <c r="J9"/>
    </row>
    <row r="10" spans="2:10" s="32" customFormat="1" ht="15.75" x14ac:dyDescent="0.2">
      <c r="B10" s="46" t="s">
        <v>379</v>
      </c>
      <c r="C10"/>
      <c r="D10"/>
      <c r="E10"/>
      <c r="F10"/>
      <c r="G10"/>
      <c r="H10"/>
      <c r="I10"/>
      <c r="J10"/>
    </row>
    <row r="11" spans="2:10" s="32" customFormat="1" ht="15" x14ac:dyDescent="0.2">
      <c r="B11"/>
      <c r="C11" s="41" t="s">
        <v>380</v>
      </c>
      <c r="D11"/>
      <c r="E11" s="2">
        <v>4.1449999999999996</v>
      </c>
      <c r="F11" s="2" t="s">
        <v>394</v>
      </c>
      <c r="G11"/>
      <c r="H11"/>
      <c r="I11"/>
      <c r="J11" s="41"/>
    </row>
    <row r="12" spans="2:10" s="32" customFormat="1" ht="15" x14ac:dyDescent="0.2">
      <c r="B12" s="41"/>
      <c r="C12"/>
      <c r="D12"/>
      <c r="E12"/>
      <c r="F12"/>
      <c r="G12"/>
      <c r="H12"/>
      <c r="I12"/>
      <c r="J12"/>
    </row>
    <row r="13" spans="2:10" s="32" customFormat="1" ht="15" x14ac:dyDescent="0.2">
      <c r="B13"/>
      <c r="C13" s="41" t="s">
        <v>381</v>
      </c>
      <c r="D13"/>
      <c r="E13" s="2">
        <v>2.5049999999999999</v>
      </c>
      <c r="F13" s="2" t="s">
        <v>394</v>
      </c>
      <c r="G13"/>
      <c r="H13"/>
      <c r="I13" s="41"/>
      <c r="J13"/>
    </row>
    <row r="14" spans="2:10" s="32" customFormat="1" ht="15" x14ac:dyDescent="0.2">
      <c r="B14" s="41"/>
      <c r="C14"/>
      <c r="D14"/>
      <c r="E14"/>
      <c r="F14"/>
      <c r="G14"/>
      <c r="H14"/>
      <c r="I14"/>
      <c r="J14"/>
    </row>
    <row r="15" spans="2:10" s="32" customFormat="1" ht="15" x14ac:dyDescent="0.2">
      <c r="B15"/>
      <c r="C15" s="41" t="s">
        <v>382</v>
      </c>
      <c r="D15"/>
      <c r="E15" s="2">
        <v>2.093</v>
      </c>
      <c r="F15" s="2" t="s">
        <v>394</v>
      </c>
      <c r="G15"/>
      <c r="H15" s="41"/>
      <c r="I15"/>
      <c r="J15"/>
    </row>
    <row r="16" spans="2:10" s="32" customFormat="1" ht="15" x14ac:dyDescent="0.2">
      <c r="B16" s="41"/>
      <c r="C16"/>
      <c r="D16"/>
      <c r="E16"/>
      <c r="F16"/>
      <c r="G16"/>
      <c r="H16"/>
      <c r="I16"/>
      <c r="J16"/>
    </row>
    <row r="17" spans="2:10" s="32" customFormat="1" ht="15" x14ac:dyDescent="0.2">
      <c r="B17"/>
      <c r="C17" s="41" t="s">
        <v>383</v>
      </c>
      <c r="D17"/>
      <c r="E17" s="2">
        <v>0.99099999999999999</v>
      </c>
      <c r="F17" s="2" t="s">
        <v>394</v>
      </c>
      <c r="G17"/>
      <c r="H17" s="41"/>
      <c r="I17"/>
      <c r="J17"/>
    </row>
    <row r="18" spans="2:10" s="32" customFormat="1" ht="15" x14ac:dyDescent="0.2">
      <c r="B18" s="41"/>
      <c r="C18"/>
      <c r="D18"/>
      <c r="E18"/>
      <c r="F18"/>
      <c r="G18"/>
      <c r="H18"/>
      <c r="I18"/>
      <c r="J18"/>
    </row>
    <row r="19" spans="2:10" s="32" customFormat="1" ht="15" x14ac:dyDescent="0.2">
      <c r="B19"/>
      <c r="C19" s="41" t="s">
        <v>384</v>
      </c>
      <c r="D19"/>
      <c r="E19" s="2">
        <v>1.0189999999999999</v>
      </c>
      <c r="F19" s="2" t="s">
        <v>394</v>
      </c>
      <c r="G19"/>
      <c r="H19"/>
      <c r="I19" s="41"/>
      <c r="J19"/>
    </row>
    <row r="20" spans="2:10" s="32" customFormat="1" ht="15" x14ac:dyDescent="0.2">
      <c r="B20" s="41"/>
      <c r="C20"/>
      <c r="D20" s="50" t="s">
        <v>386</v>
      </c>
      <c r="E20"/>
      <c r="F20"/>
      <c r="G20"/>
      <c r="H20"/>
      <c r="I20"/>
      <c r="J20"/>
    </row>
    <row r="21" spans="2:10" s="32" customFormat="1" ht="15" x14ac:dyDescent="0.2">
      <c r="B21"/>
      <c r="C21" s="41" t="s">
        <v>385</v>
      </c>
      <c r="D21"/>
      <c r="E21" s="2">
        <v>2.2879999999999998</v>
      </c>
      <c r="F21" s="2" t="s">
        <v>394</v>
      </c>
      <c r="G21" s="41" t="s">
        <v>387</v>
      </c>
      <c r="H21" s="41"/>
      <c r="I21"/>
      <c r="J21"/>
    </row>
    <row r="22" spans="2:10" s="32" customFormat="1" ht="15" x14ac:dyDescent="0.2">
      <c r="B22" s="41"/>
      <c r="C22"/>
      <c r="D22" s="50" t="s">
        <v>386</v>
      </c>
      <c r="E22"/>
      <c r="F22"/>
      <c r="G22"/>
      <c r="H22"/>
      <c r="I22"/>
      <c r="J22"/>
    </row>
    <row r="23" spans="2:10" s="32" customFormat="1" ht="15" x14ac:dyDescent="0.2">
      <c r="B23"/>
      <c r="C23" s="41" t="s">
        <v>388</v>
      </c>
      <c r="D23"/>
      <c r="E23" s="2">
        <v>1.5469999999999999</v>
      </c>
      <c r="F23" s="2" t="s">
        <v>394</v>
      </c>
      <c r="G23" s="41"/>
      <c r="H23"/>
      <c r="I23"/>
      <c r="J23"/>
    </row>
    <row r="24" spans="2:10" s="32" customFormat="1" ht="15" x14ac:dyDescent="0.2">
      <c r="B24" s="41"/>
      <c r="C24"/>
      <c r="D24"/>
      <c r="E24"/>
      <c r="F24"/>
      <c r="G24"/>
      <c r="H24"/>
      <c r="I24"/>
      <c r="J24"/>
    </row>
    <row r="25" spans="2:10" s="32" customFormat="1" ht="15" x14ac:dyDescent="0.2">
      <c r="B25"/>
      <c r="C25" s="41" t="s">
        <v>370</v>
      </c>
      <c r="D25"/>
      <c r="E25" s="2">
        <v>1.78</v>
      </c>
      <c r="F25" s="2" t="s">
        <v>394</v>
      </c>
      <c r="G25"/>
      <c r="H25"/>
      <c r="I25" s="41" t="s">
        <v>387</v>
      </c>
      <c r="J25" s="41"/>
    </row>
    <row r="26" spans="2:10" s="32" customFormat="1" ht="15" x14ac:dyDescent="0.2">
      <c r="B26" s="45"/>
      <c r="C26"/>
      <c r="D26"/>
      <c r="E26"/>
      <c r="F26"/>
      <c r="G26"/>
      <c r="H26"/>
      <c r="I26"/>
      <c r="J26"/>
    </row>
    <row r="27" spans="2:10" s="32" customFormat="1" ht="15" x14ac:dyDescent="0.2">
      <c r="B27" s="45"/>
      <c r="C27" s="2" t="s">
        <v>389</v>
      </c>
      <c r="D27"/>
      <c r="E27" s="2">
        <v>559.404</v>
      </c>
      <c r="F27" s="2" t="s">
        <v>396</v>
      </c>
      <c r="G27"/>
      <c r="H27"/>
      <c r="I27"/>
      <c r="J27"/>
    </row>
    <row r="28" spans="2:10" s="32" customFormat="1" ht="15" x14ac:dyDescent="0.2">
      <c r="B28" s="41"/>
      <c r="C28"/>
      <c r="D28"/>
      <c r="E28"/>
      <c r="F28"/>
      <c r="G28"/>
      <c r="H28"/>
      <c r="I28"/>
      <c r="J28"/>
    </row>
    <row r="29" spans="2:10" ht="15" x14ac:dyDescent="0.2">
      <c r="C29" s="41" t="s">
        <v>390</v>
      </c>
      <c r="E29" s="2">
        <v>217.99299999999999</v>
      </c>
      <c r="F29" s="2" t="s">
        <v>397</v>
      </c>
    </row>
    <row r="30" spans="2:10" ht="15" x14ac:dyDescent="0.2">
      <c r="B30" s="41"/>
    </row>
    <row r="31" spans="2:10" ht="15.75" x14ac:dyDescent="0.2">
      <c r="B31" s="46" t="s">
        <v>391</v>
      </c>
      <c r="E31" s="90">
        <v>100.232</v>
      </c>
    </row>
    <row r="32" spans="2:10" ht="15" x14ac:dyDescent="0.2">
      <c r="B32" s="41"/>
    </row>
    <row r="33" spans="2:10" ht="15.75" x14ac:dyDescent="0.2">
      <c r="B33" s="46" t="s">
        <v>392</v>
      </c>
      <c r="E33" s="52">
        <v>107.255</v>
      </c>
      <c r="F33" s="2" t="s">
        <v>398</v>
      </c>
      <c r="J33" s="46"/>
    </row>
    <row r="34" spans="2:10" x14ac:dyDescent="0.2">
      <c r="E34" s="32" t="s">
        <v>399</v>
      </c>
      <c r="I34" s="47"/>
    </row>
    <row r="36" spans="2:10" ht="15.75" x14ac:dyDescent="0.2">
      <c r="B36" s="46" t="s">
        <v>414</v>
      </c>
      <c r="E36" s="55">
        <v>32</v>
      </c>
      <c r="F36" s="2"/>
      <c r="J36" s="46"/>
    </row>
    <row r="39" spans="2:10" ht="15.75" x14ac:dyDescent="0.2">
      <c r="B39" s="46" t="s">
        <v>434</v>
      </c>
      <c r="E39" s="87">
        <f>801.06*0.9969*1.0016*1.0054*1.0112*1.0115*1.0051*0.9997*1.0043*1.0543*1.0694*1.0216</f>
        <v>956.049734925547</v>
      </c>
      <c r="F39" s="2" t="s">
        <v>397</v>
      </c>
      <c r="J39" s="46"/>
    </row>
    <row r="40" spans="2:10" ht="15" x14ac:dyDescent="0.2">
      <c r="B40" s="41"/>
      <c r="C40" t="s">
        <v>435</v>
      </c>
      <c r="E40" s="87">
        <v>200000</v>
      </c>
      <c r="F40" s="2" t="s">
        <v>397</v>
      </c>
    </row>
    <row r="41" spans="2:10" ht="15" x14ac:dyDescent="0.2">
      <c r="C41" t="s">
        <v>436</v>
      </c>
      <c r="E41" s="87">
        <v>400000</v>
      </c>
      <c r="F41" s="2" t="s">
        <v>397</v>
      </c>
    </row>
    <row r="42" spans="2:10" ht="15" x14ac:dyDescent="0.2">
      <c r="C42" s="32" t="s">
        <v>437</v>
      </c>
      <c r="E42" s="87">
        <v>800000</v>
      </c>
      <c r="F42" s="2" t="s">
        <v>397</v>
      </c>
    </row>
    <row r="43" spans="2:10" ht="15" x14ac:dyDescent="0.2">
      <c r="C43" s="32" t="s">
        <v>438</v>
      </c>
      <c r="E43" s="87">
        <v>1600000</v>
      </c>
      <c r="F43" s="2" t="s">
        <v>397</v>
      </c>
    </row>
    <row r="44" spans="2:10" ht="15" x14ac:dyDescent="0.2">
      <c r="C44" s="32" t="s">
        <v>439</v>
      </c>
      <c r="E44" s="87">
        <v>3200000</v>
      </c>
      <c r="F44" s="2" t="s">
        <v>397</v>
      </c>
    </row>
    <row r="45" spans="2:10" ht="15" x14ac:dyDescent="0.2">
      <c r="C45" s="32" t="s">
        <v>440</v>
      </c>
      <c r="E45" s="87">
        <v>6400000</v>
      </c>
      <c r="F45" s="2" t="s">
        <v>397</v>
      </c>
    </row>
    <row r="46" spans="2:10" ht="15" x14ac:dyDescent="0.2">
      <c r="C46" s="32" t="s">
        <v>441</v>
      </c>
      <c r="E46" s="87">
        <v>12500000</v>
      </c>
      <c r="F46" s="2" t="s">
        <v>397</v>
      </c>
    </row>
    <row r="47" spans="2:10" ht="15" x14ac:dyDescent="0.2">
      <c r="C47" s="32" t="s">
        <v>442</v>
      </c>
      <c r="E47" s="87">
        <v>19000000</v>
      </c>
      <c r="F47" s="2" t="s">
        <v>397</v>
      </c>
    </row>
    <row r="48" spans="2:10" ht="15" x14ac:dyDescent="0.2">
      <c r="C48" s="32" t="s">
        <v>443</v>
      </c>
      <c r="E48" s="88" t="s">
        <v>484</v>
      </c>
      <c r="F48" s="2" t="s">
        <v>397</v>
      </c>
    </row>
  </sheetData>
  <sheetProtection algorithmName="SHA-512" hashValue="lF7P36pDkC8KrZcPmsanKBUGVpMJ2uo1Cwa2Imexj319nknacKRvJmCV3lFkVAtRIM+mLvmU99CUy/W/xbUsMA==" saltValue="gxRDqa2dsIe7ZwJ5S0iQ/Q==" spinCount="100000" sheet="1" selectLockedCells="1" selectUnlockedCells="1"/>
  <mergeCells count="2">
    <mergeCell ref="B2:F2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SIMULADOR - DADOS</vt:lpstr>
      <vt:lpstr>SIMULADOR - CUSTO PROJETOS</vt:lpstr>
      <vt:lpstr>COEFICIENTES A ALTERAR</vt:lpstr>
      <vt:lpstr>'SIMULADOR - CUSTO PROJETOS'!Área_de_Impressão</vt:lpstr>
      <vt:lpstr>'SIMULADOR - DADOS'!Área_de_Impressão</vt:lpstr>
    </vt:vector>
  </TitlesOfParts>
  <Company>SoftHouse Informática 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Silva</dc:creator>
  <cp:lastModifiedBy>Luís Silva</cp:lastModifiedBy>
  <cp:lastPrinted>2013-04-29T17:43:02Z</cp:lastPrinted>
  <dcterms:created xsi:type="dcterms:W3CDTF">2004-11-08T21:19:50Z</dcterms:created>
  <dcterms:modified xsi:type="dcterms:W3CDTF">2025-10-01T09:26:12Z</dcterms:modified>
</cp:coreProperties>
</file>